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onos-my.sharepoint.com/personal/b22432_eon_com/Documents/Desktop/"/>
    </mc:Choice>
  </mc:AlternateContent>
  <xr:revisionPtr revIDLastSave="0" documentId="8_{C4585CFC-C37E-418F-B546-3F53C4A9B36A}" xr6:coauthVersionLast="47" xr6:coauthVersionMax="47" xr10:uidLastSave="{00000000-0000-0000-0000-000000000000}"/>
  <bookViews>
    <workbookView xWindow="-120" yWindow="-120" windowWidth="28215" windowHeight="1584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7" l="1"/>
  <c r="D8" i="15"/>
  <c r="E6" i="17"/>
  <c r="D7" i="15"/>
  <c r="E4" i="17"/>
  <c r="D5" i="15"/>
  <c r="F52" i="17" l="1"/>
  <c r="F60" i="17" l="1"/>
  <c r="G60" i="17"/>
  <c r="H60" i="17"/>
  <c r="I60" i="17"/>
  <c r="J60" i="17"/>
  <c r="K60" i="17"/>
  <c r="L60" i="17"/>
  <c r="M60" i="17"/>
  <c r="N60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J21" i="18"/>
  <c r="I21" i="18"/>
  <c r="L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N21" i="18" l="1"/>
  <c r="K21" i="18"/>
  <c r="E21" i="18" s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G55" i="18" l="1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6" i="17"/>
  <c r="H56" i="1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X12" i="7" l="1"/>
  <c r="X13" i="7"/>
  <c r="X16" i="7"/>
  <c r="X15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C6" i="1"/>
  <c r="D5" i="7"/>
  <c r="D7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6" i="7" l="1"/>
  <c r="M16" i="7"/>
  <c r="O15" i="7"/>
  <c r="F15" i="7"/>
  <c r="I14" i="7"/>
  <c r="K13" i="7"/>
  <c r="M12" i="7"/>
  <c r="L16" i="7"/>
  <c r="N15" i="7"/>
  <c r="P14" i="7"/>
  <c r="H14" i="7"/>
  <c r="J13" i="7"/>
  <c r="L12" i="7"/>
  <c r="M15" i="7"/>
  <c r="O14" i="7"/>
  <c r="F14" i="7"/>
  <c r="I13" i="7"/>
  <c r="K12" i="7"/>
  <c r="L15" i="7"/>
  <c r="N14" i="7"/>
  <c r="P13" i="7"/>
  <c r="H13" i="7"/>
  <c r="J12" i="7"/>
  <c r="I16" i="7"/>
  <c r="K15" i="7"/>
  <c r="M14" i="7"/>
  <c r="K16" i="7"/>
  <c r="J16" i="7"/>
  <c r="N12" i="7"/>
  <c r="O13" i="7"/>
  <c r="F13" i="7"/>
  <c r="I12" i="7"/>
  <c r="P16" i="7"/>
  <c r="H16" i="7"/>
  <c r="J15" i="7"/>
  <c r="L14" i="7"/>
  <c r="N13" i="7"/>
  <c r="P12" i="7"/>
  <c r="H12" i="7"/>
  <c r="O16" i="7"/>
  <c r="F16" i="7"/>
  <c r="I15" i="7"/>
  <c r="K14" i="7"/>
  <c r="M13" i="7"/>
  <c r="O12" i="7"/>
  <c r="F12" i="7"/>
  <c r="P15" i="7"/>
  <c r="H15" i="7"/>
  <c r="J14" i="7"/>
  <c r="L13" i="7"/>
  <c r="M8" i="4"/>
  <c r="M7" i="4"/>
  <c r="C5" i="1"/>
  <c r="D6" i="15"/>
  <c r="D6" i="7"/>
  <c r="Q13" i="7" l="1"/>
  <c r="Q15" i="7"/>
  <c r="Q12" i="7"/>
  <c r="Q16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<sst xmlns="http://schemas.openxmlformats.org/spreadsheetml/2006/main" count="1370" uniqueCount="666">
  <si>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</si>
  <si>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</si>
  <si>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</si>
  <si>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</si>
  <si>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</si>
  <si>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</si>
  <si>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</si>
  <si>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</si>
  <si>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</si>
  <si>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</si>
  <si>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</si>
  <si>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</si>
  <si>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</si>
  <si>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</si>
  <si>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</si>
  <si>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</si>
  <si>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</si>
  <si>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</si>
  <si>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</si>
  <si>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</si>
  <si>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</si>
  <si>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</si>
  <si>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</si>
  <si>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</si>
  <si>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</si>
  <si>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</si>
  <si>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</si>
  <si>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</si>
  <si>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</si>
  <si>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</si>
  <si>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</si>
  <si>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</si>
  <si>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</si>
  <si>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</si>
  <si>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</si>
  <si>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</si>
  <si>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</si>
  <si>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</si>
  <si>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</si>
  <si>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</si>
  <si>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</si>
  <si>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</si>
  <si>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</si>
  <si>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</si>
  <si>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</si>
  <si>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</si>
  <si>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</si>
  <si>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</si>
  <si>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</si>
  <si>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</si>
  <si>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</si>
  <si>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</si>
  <si>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</si>
  <si>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</si>
  <si>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</si>
  <si>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</si>
  <si>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</si>
  <si>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</si>
  <si>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</si>
  <si>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</si>
  <si>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</si>
  <si>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</si>
  <si>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</si>
  <si>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</si>
  <si>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</si>
  <si>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</si>
  <si>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</si>
  <si>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</si>
  <si>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</si>
  <si>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</si>
  <si>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</si>
  <si>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</si>
  <si>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</si>
  <si>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</si>
  <si>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</si>
  <si>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</si>
  <si>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</si>
  <si>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</si>
  <si>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</si>
  <si>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</si>
  <si>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</si>
  <si>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</si>
  <si>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</si>
  <si>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</si>
  <si>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</si>
  <si>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</si>
  <si>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</si>
  <si>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</si>
  <si>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</si>
  <si>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</si>
  <si>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</si>
  <si>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</si>
  <si>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</si>
  <si>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</si>
  <si>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</si>
  <si>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</si>
  <si>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</si>
  <si>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</si>
  <si>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</si>
  <si>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</si>
  <si>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</si>
  <si>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</si>
  <si>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</si>
  <si>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</si>
  <si>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</si>
  <si>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</si>
  <si>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</si>
  <si>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</si>
  <si>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</si>
  <si>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</si>
  <si>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</si>
  <si>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</si>
  <si>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</si>
  <si>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</si>
  <si>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</si>
  <si>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</si>
  <si>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</si>
  <si>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</si>
  <si>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</si>
  <si>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</si>
  <si>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</si>
  <si>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</si>
  <si>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</si>
  <si>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</si>
  <si>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</si>
  <si>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</si>
  <si>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</si>
  <si>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</si>
  <si>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</si>
  <si>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</si>
  <si>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</si>
  <si>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</si>
  <si>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</si>
  <si>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</si>
  <si>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</si>
  <si>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</si>
  <si>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</si>
  <si>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</si>
  <si>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</si>
  <si>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</si>
  <si>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</si>
  <si>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</si>
  <si>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</si>
  <si>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</si>
  <si>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</si>
  <si>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</si>
  <si>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</si>
  <si>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</si>
  <si>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</si>
  <si>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</si>
  <si>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</si>
  <si>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</si>
  <si>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</si>
  <si>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</si>
  <si>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</si>
  <si>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</si>
  <si>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</si>
  <si>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</si>
  <si>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</si>
  <si>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</si>
  <si>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</si>
  <si>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</si>
  <si>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</si>
  <si>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</si>
  <si>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</si>
  <si>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</si>
  <si>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</si>
  <si>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</si>
  <si>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</si>
  <si>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</si>
  <si>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</si>
  <si>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</si>
  <si>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</si>
  <si>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</si>
  <si>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</si>
  <si>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</si>
  <si>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</si>
  <si>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</si>
  <si>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</si>
  <si>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</si>
  <si>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</si>
  <si>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</si>
  <si>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</si>
  <si>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</si>
  <si>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</si>
  <si>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</si>
  <si>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</si>
  <si>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</si>
  <si>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</si>
  <si>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</si>
  <si>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</si>
  <si>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</si>
  <si>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</si>
  <si>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</si>
  <si>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</si>
  <si>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</si>
  <si>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</si>
  <si>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</si>
  <si>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</si>
  <si>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</si>
  <si>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</si>
  <si>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</si>
  <si>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</si>
  <si>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</si>
  <si>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</si>
  <si>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</si>
  <si>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</si>
  <si>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</si>
  <si>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</si>
  <si>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</si>
  <si>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</si>
  <si>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</si>
  <si>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</si>
  <si>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</si>
  <si>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</si>
  <si>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</si>
  <si>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</si>
  <si>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</si>
  <si>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</si>
  <si>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</si>
  <si>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</si>
  <si>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</si>
  <si>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</si>
  <si>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</si>
  <si>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</si>
  <si>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</si>
  <si>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</si>
  <si>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</si>
  <si>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</si>
  <si>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</si>
  <si>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</si>
  <si>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</si>
  <si>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</si>
  <si>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</si>
  <si>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</si>
  <si>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</si>
  <si>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</si>
  <si>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</si>
  <si>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</si>
  <si>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</si>
  <si>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</si>
  <si>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</si>
  <si>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</si>
  <si>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</si>
  <si>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</si>
  <si>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</si>
  <si>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</si>
  <si>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</si>
  <si>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</si>
  <si>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</si>
  <si>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</si>
  <si>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</si>
  <si>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</si>
  <si>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</si>
  <si>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</si>
  <si>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</si>
  <si>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</si>
  <si>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</si>
  <si>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</si>
  <si>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</si>
  <si>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</si>
  <si>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</si>
  <si>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</si>
  <si>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</si>
  <si>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</si>
  <si>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</si>
  <si>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</si>
  <si>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</si>
  <si>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</si>
  <si>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</si>
  <si>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</si>
  <si>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</si>
  <si>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</si>
  <si>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</si>
  <si>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</si>
  <si>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</si>
  <si>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</si>
  <si>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</si>
  <si>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</si>
  <si>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</si>
  <si>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</si>
  <si>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</si>
  <si>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</si>
  <si>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</si>
  <si>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</si>
  <si>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</si>
  <si>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</si>
  <si>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</si>
  <si>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</si>
  <si>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</si>
  <si>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</si>
  <si>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</si>
  <si>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</si>
  <si>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</si>
  <si>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</si>
  <si>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</si>
  <si>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</si>
  <si>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</si>
  <si>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</si>
  <si>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</si>
  <si>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</si>
  <si>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</si>
  <si>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</si>
  <si>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</si>
  <si>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</si>
  <si>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</si>
  <si>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</si>
  <si>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</si>
  <si>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</si>
  <si>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</si>
  <si>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</si>
  <si>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</si>
  <si>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</si>
  <si>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</si>
  <si>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</si>
  <si>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</si>
  <si>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</si>
  <si>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</si>
  <si>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</si>
  <si>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</si>
  <si>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</si>
  <si>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</si>
  <si>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</si>
  <si>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</si>
  <si>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</si>
  <si>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</si>
  <si>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</si>
  <si>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</si>
  <si>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</si>
  <si>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</si>
  <si>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</si>
  <si>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</si>
  <si>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</si>
  <si>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</si>
  <si>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</si>
  <si>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</si>
  <si>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</si>
  <si>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</si>
  <si>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</si>
  <si>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</si>
  <si>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</si>
  <si>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</si>
  <si>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</si>
  <si>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</si>
  <si>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</si>
  <si>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</si>
  <si>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</si>
  <si>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</si>
  <si>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</si>
  <si>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</si>
  <si>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</si>
  <si>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</si>
  <si>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</si>
  <si>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</si>
  <si>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</si>
  <si>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</si>
  <si>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</si>
  <si>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</si>
  <si>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</si>
  <si>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</si>
  <si>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</si>
  <si>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</si>
  <si>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</si>
  <si>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</si>
  <si>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</si>
  <si>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</si>
  <si>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</si>
  <si>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</si>
  <si>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</si>
  <si>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</si>
  <si>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</si>
  <si>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</si>
  <si>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</si>
  <si>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</si>
  <si>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</si>
  <si>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</si>
  <si>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</si>
  <si>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</si>
  <si>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</si>
  <si>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</si>
  <si>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</si>
  <si>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</si>
  <si>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</si>
  <si>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</si>
  <si>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</si>
  <si>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</si>
  <si>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</si>
  <si>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</si>
  <si>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</si>
  <si>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</si>
  <si>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</si>
  <si>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</si>
  <si>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</si>
  <si>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</si>
  <si>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</si>
  <si>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</si>
  <si>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</si>
  <si>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</si>
  <si>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</si>
  <si>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</si>
  <si>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</si>
  <si>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</si>
  <si>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</si>
  <si>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</si>
  <si>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</si>
  <si>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</si>
  <si>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</si>
  <si>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</si>
  <si>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</si>
  <si>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</si>
  <si>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</si>
  <si>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</si>
  <si>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</si>
  <si>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</si>
  <si>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</si>
  <si>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</si>
  <si>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</si>
  <si>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</si>
  <si>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</si>
  <si>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</si>
  <si>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</si>
  <si>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</si>
  <si>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</si>
  <si>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</si>
  <si>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</si>
  <si>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</si>
  <si>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</si>
  <si>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</si>
  <si>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</si>
  <si>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</si>
  <si>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</si>
  <si>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</si>
  <si>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</si>
  <si>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</si>
  <si>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</si>
  <si>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</si>
  <si>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</si>
  <si>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</si>
  <si>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</si>
  <si>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</si>
  <si>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</si>
  <si>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</si>
  <si>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</si>
  <si>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</si>
  <si>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</si>
  <si>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</si>
  <si>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</si>
  <si>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</si>
  <si>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</si>
  <si>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</si>
  <si>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</si>
  <si>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</si>
  <si>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</si>
  <si>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</si>
  <si>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</si>
  <si>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</si>
  <si>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</si>
  <si>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</si>
  <si>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</si>
  <si>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</si>
  <si>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</si>
  <si>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</si>
  <si>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</si>
  <si>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</si>
  <si>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</si>
  <si>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</si>
  <si>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</si>
  <si>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</si>
  <si>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</si>
  <si>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</si>
  <si>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</si>
  <si>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</si>
  <si>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</si>
  <si>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</si>
  <si>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</si>
  <si>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</si>
  <si>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</si>
  <si>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</si>
  <si>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</si>
  <si>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</si>
  <si>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</si>
  <si>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</si>
  <si>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</si>
  <si>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</si>
  <si>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</si>
  <si>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</si>
  <si>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</si>
  <si>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</si>
  <si>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</si>
  <si>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</si>
  <si>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</si>
  <si>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</si>
  <si>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</si>
  <si>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</si>
  <si>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</si>
  <si>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</si>
  <si>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</si>
  <si>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</si>
  <si>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</si>
  <si>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</si>
  <si>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</si>
  <si>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</si>
  <si>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</si>
  <si>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</si>
  <si>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</si>
  <si>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</si>
  <si>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</si>
  <si>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</si>
  <si>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</si>
  <si>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</si>
  <si>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</si>
  <si>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</si>
  <si>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</si>
  <si>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</si>
  <si>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</si>
  <si>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</si>
  <si>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</si>
  <si>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</si>
  <si>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</si>
  <si>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</si>
  <si>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</si>
  <si>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</si>
  <si>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</si>
  <si>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</si>
  <si>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</si>
  <si>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</si>
  <si>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</si>
  <si>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</si>
  <si>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</si>
  <si>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</si>
  <si>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</si>
  <si>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</si>
  <si>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</si>
  <si>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</si>
  <si>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</si>
  <si>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</si>
  <si>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</si>
  <si>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</si>
  <si>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</si>
  <si>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</si>
  <si>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</si>
  <si>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</si>
  <si>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</si>
  <si>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</si>
  <si>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</si>
  <si>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</si>
  <si>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</si>
  <si>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</si>
  <si>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</si>
  <si>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</si>
  <si>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</si>
  <si>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</si>
  <si>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</si>
  <si>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</si>
  <si>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</si>
  <si>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</si>
  <si>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</si>
  <si>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</si>
  <si>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</si>
  <si>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</si>
  <si>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</si>
  <si>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</si>
  <si>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</si>
  <si>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</si>
  <si>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</si>
  <si>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</si>
  <si>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</si>
  <si>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</si>
  <si>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</si>
  <si>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</si>
  <si>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</si>
  <si>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</si>
  <si>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</si>
  <si>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</si>
  <si>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</si>
  <si>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</si>
  <si>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</si>
  <si>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</si>
  <si>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</si>
  <si>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</si>
  <si>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</si>
  <si>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</si>
  <si>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</si>
  <si>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</si>
  <si>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</si>
  <si>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</si>
  <si>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</si>
  <si>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</si>
  <si>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</si>
  <si>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</si>
  <si>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</si>
  <si>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</si>
  <si>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</si>
  <si>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</si>
  <si>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</si>
  <si>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</si>
  <si>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</si>
  <si>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</si>
  <si>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</si>
  <si>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</si>
  <si>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</si>
  <si>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</si>
  <si>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</si>
  <si>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</si>
  <si>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</si>
  <si>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</si>
  <si>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</si>
  <si>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</si>
  <si>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</si>
  <si>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</si>
  <si>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</si>
  <si>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</si>
  <si>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</si>
  <si>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</si>
  <si>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</si>
  <si>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</si>
  <si>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</si>
  <si>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</si>
  <si>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</si>
  <si>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</si>
  <si>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</si>
  <si>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</si>
  <si>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</si>
  <si>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</si>
  <si>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</si>
  <si>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</si>
  <si>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</si>
  <si>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</si>
  <si>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</si>
  <si>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</si>
  <si>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</si>
  <si>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</si>
  <si>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</si>
  <si>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</si>
  <si>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</si>
  <si>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</si>
  <si>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</si>
  <si>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</si>
  <si>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</si>
  <si>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</si>
  <si>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</si>
  <si>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</si>
  <si>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</si>
  <si>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</si>
  <si>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</si>
  <si>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</si>
  <si>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</si>
  <si>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</si>
  <si>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</si>
  <si>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</si>
  <si>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Individuelle GPT</t>
  </si>
  <si>
    <t>Allgemeine GPT</t>
  </si>
  <si>
    <t>EVIP GmbH</t>
  </si>
  <si>
    <t>Niels-Bohr-Straße 2</t>
  </si>
  <si>
    <t>Bitterfeld-Wolfen</t>
  </si>
  <si>
    <t>Björn Friede</t>
  </si>
  <si>
    <t>edm@evip.de</t>
  </si>
  <si>
    <t>0345/216-2869</t>
  </si>
  <si>
    <t>THE0NKH701053000</t>
  </si>
  <si>
    <t>Wetterstation Leipzig/Halle</t>
  </si>
  <si>
    <t>Leipzig/Halle</t>
  </si>
  <si>
    <t>DE_GBH03</t>
  </si>
  <si>
    <t>DE_GKO03</t>
  </si>
  <si>
    <t>DE_GBD03</t>
  </si>
  <si>
    <t>DE_HEF03</t>
  </si>
  <si>
    <t>DE_HMF03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</si>
</sst>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horizontal="left"/>
      <protection hidden="1"/>
    </xf>
    <xf numFmtId="1" fontId="12" fillId="0" borderId="0" xfId="3" applyNumberFormat="1" applyFont="1" applyAlignment="1" applyProtection="1">
      <alignment horizontal="left" vertical="top"/>
      <protection hidden="1"/>
    </xf>
    <xf numFmtId="14" fontId="75" fillId="0" borderId="0" xfId="86" applyNumberFormat="1" applyFont="1" applyAlignment="1" applyProtection="1">
      <alignment horizontal="left" vertical="top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375285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47466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vip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12" sqref="G1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494</v>
      </c>
    </row>
    <row r="12" spans="2:7">
      <c r="B12" t="s">
        <v>495</v>
      </c>
    </row>
    <row r="13" spans="2:7">
      <c r="B13" t="s">
        <v>503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5" t="s">
        <v>648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7" t="s">
        <v>498</v>
      </c>
      <c r="D4" s="17">
        <v>45315</v>
      </c>
      <c r="F4" s="8"/>
    </row>
    <row r="5" spans="2:6" ht="15" customHeight="1">
      <c r="B5" s="16"/>
    </row>
    <row r="6" spans="2:6" ht="15" customHeight="1">
      <c r="B6" s="16"/>
      <c r="C6" s="47" t="s">
        <v>499</v>
      </c>
      <c r="D6" s="17">
        <v>45383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9" t="s">
        <v>652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86">
        <v>9870105300006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9" t="s">
        <v>653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260</v>
      </c>
      <c r="D15" s="30">
        <v>6749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261</v>
      </c>
      <c r="D17" s="29" t="s">
        <v>654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9" t="s">
        <v>655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31" t="s">
        <v>656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29" t="s">
        <v>657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6" t="s">
        <v>497</v>
      </c>
      <c r="D28" s="33" t="str">
        <f>IF(D27&lt;&gt;C28,VLOOKUP(D27,$C$29:$D$48,2,FALSE),C28)</f>
        <v>EVIP GmbH</v>
      </c>
      <c r="E28" s="26"/>
    </row>
    <row r="29" spans="2:15">
      <c r="C29" s="16" t="s">
        <v>392</v>
      </c>
      <c r="D29" s="32" t="s">
        <v>652</v>
      </c>
      <c r="E29" s="28"/>
    </row>
    <row r="30" spans="2:15">
      <c r="C30" s="16" t="s">
        <v>393</v>
      </c>
      <c r="D30" s="32"/>
      <c r="E30" s="28"/>
    </row>
    <row r="31" spans="2:15">
      <c r="C31" s="16" t="s">
        <v>418</v>
      </c>
      <c r="D31" s="32"/>
      <c r="E31" s="28"/>
    </row>
    <row r="32" spans="2:15">
      <c r="C32" s="16" t="s">
        <v>419</v>
      </c>
      <c r="D32" s="32"/>
      <c r="E32" s="28"/>
    </row>
    <row r="33" spans="3:5">
      <c r="C33" s="16" t="s">
        <v>420</v>
      </c>
      <c r="D33" s="32"/>
      <c r="E33" s="28"/>
    </row>
    <row r="34" spans="3:5">
      <c r="C34" s="16" t="s">
        <v>421</v>
      </c>
      <c r="D34" s="32"/>
      <c r="E34" s="28"/>
    </row>
    <row r="35" spans="3:5">
      <c r="C35" s="16" t="s">
        <v>422</v>
      </c>
      <c r="D35" s="32"/>
      <c r="E35" s="28"/>
    </row>
    <row r="36" spans="3:5">
      <c r="C36" s="16" t="s">
        <v>423</v>
      </c>
      <c r="D36" s="32"/>
      <c r="E36" s="28"/>
    </row>
    <row r="37" spans="3:5">
      <c r="C37" s="16" t="s">
        <v>424</v>
      </c>
      <c r="D37" s="32"/>
      <c r="E37" s="28"/>
    </row>
    <row r="38" spans="3:5">
      <c r="C38" s="16" t="s">
        <v>427</v>
      </c>
      <c r="D38" s="32"/>
      <c r="E38" s="28"/>
    </row>
    <row r="39" spans="3:5">
      <c r="C39" s="16" t="s">
        <v>428</v>
      </c>
      <c r="D39" s="32"/>
      <c r="E39" s="28"/>
    </row>
    <row r="40" spans="3:5">
      <c r="C40" s="16" t="s">
        <v>429</v>
      </c>
      <c r="D40" s="32"/>
      <c r="E40" s="28"/>
    </row>
    <row r="41" spans="3:5">
      <c r="C41" s="16" t="s">
        <v>430</v>
      </c>
      <c r="D41" s="32"/>
      <c r="E41" s="28"/>
    </row>
    <row r="42" spans="3:5">
      <c r="C42" s="16" t="s">
        <v>431</v>
      </c>
      <c r="D42" s="32"/>
      <c r="E42" s="28"/>
    </row>
    <row r="43" spans="3:5">
      <c r="C43" s="16" t="s">
        <v>432</v>
      </c>
      <c r="D43" s="32"/>
      <c r="E43" s="28"/>
    </row>
    <row r="44" spans="3:5">
      <c r="C44" s="16" t="s">
        <v>433</v>
      </c>
      <c r="D44" s="32"/>
      <c r="E44" s="28"/>
    </row>
    <row r="45" spans="3:5">
      <c r="C45" s="16" t="s">
        <v>434</v>
      </c>
      <c r="D45" s="32"/>
      <c r="E45" s="28"/>
    </row>
    <row r="46" spans="3:5">
      <c r="C46" s="16" t="s">
        <v>435</v>
      </c>
      <c r="D46" s="32"/>
      <c r="E46" s="28"/>
    </row>
    <row r="47" spans="3:5">
      <c r="C47" s="16" t="s">
        <v>436</v>
      </c>
      <c r="D47" s="32"/>
      <c r="E47" s="28"/>
    </row>
    <row r="48" spans="3:5">
      <c r="C48" s="16" t="s">
        <v>437</v>
      </c>
      <c r="D48" s="32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9" sqref="D9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39" t="s">
        <v>441</v>
      </c>
      <c r="D5" s="41" t="str">
        <f>Netzbetreiber!$D$9</f>
        <v>EVIP GmbH</v>
      </c>
      <c r="H5" s="48"/>
      <c r="I5" s="48"/>
      <c r="J5" s="48"/>
      <c r="K5" s="48"/>
    </row>
    <row r="6" spans="2:15" ht="15" customHeight="1">
      <c r="B6" s="16"/>
      <c r="C6" s="44" t="s">
        <v>440</v>
      </c>
      <c r="D6" s="41" t="str">
        <f>Netzbetreiber!D28</f>
        <v>EVIP GmbH</v>
      </c>
      <c r="H6" s="48"/>
      <c r="I6" s="48"/>
      <c r="J6" s="48"/>
      <c r="K6" s="48"/>
    </row>
    <row r="7" spans="2:15" ht="15" customHeight="1">
      <c r="B7" s="16"/>
      <c r="C7" s="39" t="s">
        <v>484</v>
      </c>
      <c r="D7" s="287">
        <f>Netzbetreiber!$D$11</f>
        <v>9870105300006</v>
      </c>
      <c r="H7" s="48"/>
      <c r="I7" s="48"/>
      <c r="J7" s="48"/>
      <c r="K7" s="48"/>
    </row>
    <row r="8" spans="2:15" ht="15" customHeight="1">
      <c r="B8" s="16"/>
      <c r="C8" s="39" t="s">
        <v>132</v>
      </c>
      <c r="D8" s="35">
        <f>Netzbetreiber!$D$6</f>
        <v>45383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611</v>
      </c>
      <c r="D11" s="21" t="s">
        <v>612</v>
      </c>
      <c r="H11" s="228" t="s">
        <v>612</v>
      </c>
      <c r="I11" s="228" t="s">
        <v>613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81</v>
      </c>
      <c r="C13" s="3" t="s">
        <v>649</v>
      </c>
      <c r="D13" s="29" t="s">
        <v>658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82</v>
      </c>
      <c r="C15" s="20" t="s">
        <v>365</v>
      </c>
      <c r="D15" s="34" t="s">
        <v>256</v>
      </c>
      <c r="H15" s="226" t="s">
        <v>256</v>
      </c>
      <c r="I15" s="226" t="s">
        <v>134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571</v>
      </c>
      <c r="I16" s="227" t="s">
        <v>485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486</v>
      </c>
      <c r="I17" s="227" t="s">
        <v>487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83</v>
      </c>
      <c r="C19" t="s">
        <v>609</v>
      </c>
      <c r="D19" s="34" t="s">
        <v>605</v>
      </c>
      <c r="H19" s="224" t="s">
        <v>605</v>
      </c>
      <c r="I19" s="224" t="s">
        <v>606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4" t="s">
        <v>607</v>
      </c>
      <c r="H20" s="224" t="s">
        <v>608</v>
      </c>
      <c r="I20" t="s">
        <v>604</v>
      </c>
      <c r="J20"/>
      <c r="K20"/>
      <c r="L20" s="225"/>
    </row>
    <row r="21" spans="2:16" ht="15" customHeight="1">
      <c r="B21" s="16"/>
      <c r="C21" s="2" t="s">
        <v>610</v>
      </c>
      <c r="D21" s="2" t="str">
        <f>IF(D19=$H$19,L21,IF(D20=$H$21,M21,N21))</f>
        <v>=&gt;  Q(D) = KW  x  h(T, SLP-Typ)  x  F(WT)</v>
      </c>
      <c r="H21" s="224" t="s">
        <v>607</v>
      </c>
      <c r="I21" s="224" t="s">
        <v>614</v>
      </c>
      <c r="J21"/>
      <c r="K21"/>
      <c r="L21" s="227" t="s">
        <v>615</v>
      </c>
      <c r="M21" s="227" t="s">
        <v>617</v>
      </c>
      <c r="N21" s="227" t="s">
        <v>616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84</v>
      </c>
      <c r="C23" s="4" t="s">
        <v>574</v>
      </c>
      <c r="D23" s="29" t="s">
        <v>135</v>
      </c>
      <c r="H23" s="226" t="s">
        <v>133</v>
      </c>
      <c r="I23" s="226" t="s">
        <v>135</v>
      </c>
      <c r="J23" s="224"/>
      <c r="K23" s="224"/>
      <c r="L23" s="225"/>
    </row>
    <row r="24" spans="2:16" ht="15" customHeight="1">
      <c r="B24" s="5"/>
      <c r="C24" s="4" t="s">
        <v>618</v>
      </c>
      <c r="D24" s="29" t="s">
        <v>619</v>
      </c>
      <c r="H24" s="256" t="s">
        <v>619</v>
      </c>
      <c r="I24" s="226" t="s">
        <v>620</v>
      </c>
      <c r="J24" s="226" t="s">
        <v>621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622</v>
      </c>
      <c r="I25" s="227" t="s">
        <v>623</v>
      </c>
      <c r="J25" s="227" t="s">
        <v>624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625</v>
      </c>
      <c r="I26" s="227" t="s">
        <v>626</v>
      </c>
      <c r="J26" s="227" t="s">
        <v>627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367</v>
      </c>
      <c r="C28" s="4" t="s">
        <v>573</v>
      </c>
      <c r="D28" s="29" t="s">
        <v>135</v>
      </c>
      <c r="H28" s="226" t="s">
        <v>133</v>
      </c>
      <c r="I28" s="226" t="s">
        <v>135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628</v>
      </c>
      <c r="I29" s="227" t="s">
        <v>629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630</v>
      </c>
      <c r="I30" s="224" t="s">
        <v>625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490</v>
      </c>
      <c r="C32" s="2" t="s">
        <v>492</v>
      </c>
      <c r="D32" s="221">
        <v>5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545</v>
      </c>
      <c r="C34" s="3" t="s">
        <v>362</v>
      </c>
      <c r="D34" s="22">
        <v>1500000</v>
      </c>
      <c r="E34" t="s">
        <v>504</v>
      </c>
      <c r="I34" s="224"/>
      <c r="J34" s="224"/>
      <c r="K34" s="224"/>
      <c r="L34" s="224"/>
      <c r="M34" s="225"/>
    </row>
    <row r="35" spans="2:22" ht="15" customHeight="1">
      <c r="C35" t="s">
        <v>488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546</v>
      </c>
      <c r="C37" s="3" t="s">
        <v>363</v>
      </c>
      <c r="D37" s="24">
        <v>500</v>
      </c>
      <c r="E37" t="s">
        <v>537</v>
      </c>
      <c r="H37" s="48"/>
      <c r="I37" s="48"/>
      <c r="J37" s="48"/>
      <c r="K37" s="48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536</v>
      </c>
    </row>
    <row r="41" spans="2:22" ht="18" customHeight="1">
      <c r="C41" s="2" t="s">
        <v>538</v>
      </c>
    </row>
    <row r="42" spans="2:22" ht="18" customHeight="1">
      <c r="C42" s="2"/>
    </row>
    <row r="43" spans="2:22" ht="15" customHeight="1">
      <c r="B43" s="16" t="s">
        <v>547</v>
      </c>
      <c r="C43" s="39" t="s">
        <v>572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582</v>
      </c>
      <c r="D45" s="32" t="s">
        <v>659</v>
      </c>
    </row>
    <row r="46" spans="2:22" ht="18" customHeight="1">
      <c r="C46" s="16" t="s">
        <v>583</v>
      </c>
      <c r="D46" s="32"/>
    </row>
    <row r="47" spans="2:22" ht="18" customHeight="1">
      <c r="C47" s="16" t="s">
        <v>584</v>
      </c>
      <c r="D47" s="32"/>
    </row>
    <row r="48" spans="2:22" ht="18" customHeight="1">
      <c r="C48" s="16" t="s">
        <v>585</v>
      </c>
      <c r="D48" s="32"/>
    </row>
    <row r="49" spans="3:4" ht="18" customHeight="1">
      <c r="C49" s="16" t="s">
        <v>586</v>
      </c>
      <c r="D49" s="32"/>
    </row>
    <row r="50" spans="3:4" ht="18" customHeight="1">
      <c r="C50" s="16" t="s">
        <v>587</v>
      </c>
      <c r="D50" s="32"/>
    </row>
    <row r="51" spans="3:4" ht="18" customHeight="1">
      <c r="C51" s="16" t="s">
        <v>588</v>
      </c>
      <c r="D51" s="32"/>
    </row>
    <row r="52" spans="3:4" ht="18" customHeight="1">
      <c r="C52" s="16" t="s">
        <v>589</v>
      </c>
      <c r="D52" s="32"/>
    </row>
    <row r="53" spans="3:4" ht="18" customHeight="1">
      <c r="C53" s="16" t="s">
        <v>590</v>
      </c>
      <c r="D53" s="32"/>
    </row>
    <row r="54" spans="3:4" ht="18" customHeight="1">
      <c r="C54" s="16" t="s">
        <v>591</v>
      </c>
      <c r="D54" s="32"/>
    </row>
    <row r="55" spans="3:4" ht="18" customHeight="1">
      <c r="C55" s="16" t="s">
        <v>592</v>
      </c>
      <c r="D55" s="32"/>
    </row>
    <row r="56" spans="3:4" ht="18" customHeight="1">
      <c r="C56" s="16" t="s">
        <v>593</v>
      </c>
      <c r="D56" s="32"/>
    </row>
    <row r="57" spans="3:4" ht="18" customHeight="1">
      <c r="C57" s="16" t="s">
        <v>594</v>
      </c>
      <c r="D57" s="32"/>
    </row>
    <row r="58" spans="3:4" ht="18" customHeight="1">
      <c r="C58" s="16" t="s">
        <v>595</v>
      </c>
      <c r="D58" s="32"/>
    </row>
    <row r="59" spans="3:4" ht="18" customHeight="1">
      <c r="C59" s="16" t="s">
        <v>596</v>
      </c>
      <c r="D59" s="32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C11" sqref="C11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2:56" ht="75" customHeight="1"/>
    <row r="2" spans="2:56" ht="23.25">
      <c r="B2" s="6" t="s">
        <v>540</v>
      </c>
    </row>
    <row r="3" spans="2:56" ht="15" customHeight="1">
      <c r="B3" s="6"/>
    </row>
    <row r="4" spans="2:56">
      <c r="C4" s="39" t="s">
        <v>441</v>
      </c>
      <c r="D4" s="40"/>
      <c r="E4" s="41" t="str">
        <f>Netzbetreiber!$D$9</f>
        <v>EVIP GmbH</v>
      </c>
    </row>
    <row r="5" spans="2:56">
      <c r="C5" s="39" t="s">
        <v>440</v>
      </c>
      <c r="D5" s="40"/>
      <c r="E5" s="41" t="str">
        <f>Netzbetreiber!D28</f>
        <v>EVIP GmbH</v>
      </c>
    </row>
    <row r="6" spans="2:56">
      <c r="C6" s="39" t="s">
        <v>484</v>
      </c>
      <c r="D6" s="40"/>
      <c r="E6" s="287">
        <f>Netzbetreiber!$D$11</f>
        <v>9870105300006</v>
      </c>
    </row>
    <row r="7" spans="2:56">
      <c r="C7" s="39" t="s">
        <v>132</v>
      </c>
      <c r="D7" s="40"/>
      <c r="E7" s="35">
        <f>Netzbetreiber!$D$6</f>
        <v>45383</v>
      </c>
    </row>
    <row r="8" spans="2:56">
      <c r="H8" s="67" t="s">
        <v>493</v>
      </c>
    </row>
    <row r="9" spans="2:56">
      <c r="C9" s="39" t="s">
        <v>518</v>
      </c>
      <c r="F9" s="128">
        <f>'SLP-Verfahren'!D43</f>
        <v>1</v>
      </c>
      <c r="H9" s="142" t="s">
        <v>597</v>
      </c>
    </row>
    <row r="10" spans="2:56">
      <c r="C10" s="39" t="s">
        <v>581</v>
      </c>
      <c r="F10" s="248">
        <v>1</v>
      </c>
      <c r="G10" s="40"/>
      <c r="H10" s="142" t="s">
        <v>598</v>
      </c>
    </row>
    <row r="11" spans="2:56">
      <c r="C11" s="39" t="s">
        <v>599</v>
      </c>
      <c r="F11" s="246" t="str">
        <f>INDEX('SLP-Verfahren'!D45:D59,'SLP-Temp-Gebiet #01'!F10)</f>
        <v>Wetterstation Leipzig/Halle</v>
      </c>
      <c r="G11" s="249"/>
      <c r="H11" s="67"/>
    </row>
    <row r="12" spans="2:56"/>
    <row r="13" spans="2:56" ht="18" customHeight="1">
      <c r="C13" s="290" t="s">
        <v>580</v>
      </c>
      <c r="D13" s="290"/>
      <c r="E13" s="290"/>
      <c r="F13" s="16" t="s">
        <v>544</v>
      </c>
      <c r="G13" t="s">
        <v>542</v>
      </c>
      <c r="H13" s="218" t="s">
        <v>559</v>
      </c>
      <c r="I13" s="40"/>
    </row>
    <row r="14" spans="2:56" ht="19.5" customHeight="1">
      <c r="C14" s="291" t="s">
        <v>444</v>
      </c>
      <c r="D14" s="291"/>
      <c r="E14" s="5" t="s">
        <v>445</v>
      </c>
      <c r="F14" s="219"/>
      <c r="G14" s="220"/>
      <c r="H14" s="36"/>
      <c r="I14" s="40"/>
      <c r="O14" s="143" t="s">
        <v>523</v>
      </c>
      <c r="R14" s="48" t="s">
        <v>560</v>
      </c>
      <c r="S14" s="48" t="s">
        <v>561</v>
      </c>
      <c r="T14" s="48" t="s">
        <v>562</v>
      </c>
      <c r="U14" s="48" t="s">
        <v>563</v>
      </c>
      <c r="V14" s="48" t="s">
        <v>543</v>
      </c>
      <c r="W14" s="48" t="s">
        <v>564</v>
      </c>
      <c r="X14" s="48" t="s">
        <v>565</v>
      </c>
      <c r="Y14" s="48" t="s">
        <v>566</v>
      </c>
      <c r="Z14" s="48" t="s">
        <v>567</v>
      </c>
      <c r="AA14" s="48" t="s">
        <v>568</v>
      </c>
      <c r="AB14" s="48" t="s">
        <v>569</v>
      </c>
      <c r="AC14" s="48" t="s">
        <v>570</v>
      </c>
    </row>
    <row r="15" spans="2:56" ht="19.5" customHeight="1">
      <c r="C15" s="291" t="s">
        <v>384</v>
      </c>
      <c r="D15" s="291"/>
      <c r="E15" s="5" t="s">
        <v>445</v>
      </c>
      <c r="F15" s="219"/>
      <c r="G15" s="220"/>
      <c r="H15" s="36"/>
      <c r="I15" s="40"/>
      <c r="O15" s="134" t="s">
        <v>524</v>
      </c>
      <c r="R15" s="217" t="s">
        <v>70</v>
      </c>
      <c r="S15" s="217" t="s">
        <v>71</v>
      </c>
      <c r="T15" s="217" t="s">
        <v>72</v>
      </c>
      <c r="U15" s="217" t="s">
        <v>73</v>
      </c>
      <c r="V15" s="217" t="s">
        <v>74</v>
      </c>
      <c r="W15" s="217" t="s">
        <v>75</v>
      </c>
      <c r="X15" s="217" t="s">
        <v>76</v>
      </c>
      <c r="Y15" s="217" t="s">
        <v>77</v>
      </c>
      <c r="Z15" s="217" t="s">
        <v>78</v>
      </c>
      <c r="AA15" s="217" t="s">
        <v>79</v>
      </c>
      <c r="AB15" s="217" t="s">
        <v>80</v>
      </c>
      <c r="AC15" s="217" t="s">
        <v>81</v>
      </c>
      <c r="AD15" s="217" t="s">
        <v>82</v>
      </c>
      <c r="AE15" s="217" t="s">
        <v>83</v>
      </c>
      <c r="AF15" s="217" t="s">
        <v>84</v>
      </c>
      <c r="AG15" s="217" t="s">
        <v>367</v>
      </c>
      <c r="AH15" s="217" t="s">
        <v>490</v>
      </c>
      <c r="AI15" s="217" t="s">
        <v>545</v>
      </c>
      <c r="AJ15" s="217" t="s">
        <v>546</v>
      </c>
      <c r="AK15" s="217" t="s">
        <v>547</v>
      </c>
      <c r="AL15" s="217" t="s">
        <v>548</v>
      </c>
      <c r="AM15" s="217" t="s">
        <v>549</v>
      </c>
      <c r="AN15" s="217" t="s">
        <v>550</v>
      </c>
      <c r="AO15" s="217" t="s">
        <v>551</v>
      </c>
      <c r="AP15" s="217" t="s">
        <v>552</v>
      </c>
      <c r="AQ15" s="217" t="s">
        <v>553</v>
      </c>
      <c r="AR15" s="217" t="s">
        <v>554</v>
      </c>
      <c r="AS15" s="217" t="s">
        <v>555</v>
      </c>
      <c r="AT15" s="217" t="s">
        <v>556</v>
      </c>
      <c r="AU15" s="217" t="s">
        <v>557</v>
      </c>
      <c r="AV15" s="217" t="s">
        <v>558</v>
      </c>
      <c r="AW15" s="217"/>
      <c r="AX15" s="217"/>
      <c r="AY15" s="217"/>
      <c r="AZ15" s="217"/>
      <c r="BA15" s="217"/>
      <c r="BB15" s="217"/>
      <c r="BC15" s="217"/>
      <c r="BD15" s="217"/>
    </row>
    <row r="16" spans="2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513</v>
      </c>
      <c r="D17" s="144"/>
      <c r="R17" s="170"/>
      <c r="S17" s="170"/>
    </row>
    <row r="18" spans="2:21">
      <c r="C18" s="39" t="s">
        <v>519</v>
      </c>
      <c r="F18" s="34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514</v>
      </c>
      <c r="D20" s="147" t="s">
        <v>510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143</v>
      </c>
    </row>
    <row r="21" spans="2:21">
      <c r="B21" s="16"/>
      <c r="C21" s="150" t="s">
        <v>521</v>
      </c>
      <c r="D21" s="127" t="s">
        <v>512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533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144</v>
      </c>
      <c r="Q22" s="171"/>
    </row>
    <row r="23" spans="2:21">
      <c r="B23" s="16"/>
      <c r="C23" s="150" t="s">
        <v>136</v>
      </c>
      <c r="D23" s="153"/>
      <c r="E23" s="130" t="s">
        <v>138</v>
      </c>
      <c r="F23" s="130" t="s">
        <v>138</v>
      </c>
      <c r="G23" s="130" t="s">
        <v>138</v>
      </c>
      <c r="H23" s="130" t="s">
        <v>138</v>
      </c>
      <c r="I23" s="130" t="s">
        <v>138</v>
      </c>
      <c r="J23" s="130" t="s">
        <v>138</v>
      </c>
      <c r="K23" s="130" t="s">
        <v>138</v>
      </c>
      <c r="L23" s="130" t="s">
        <v>138</v>
      </c>
      <c r="M23" s="130" t="s">
        <v>138</v>
      </c>
      <c r="N23" s="130" t="s">
        <v>138</v>
      </c>
      <c r="O23" s="151" t="s">
        <v>141</v>
      </c>
      <c r="Q23" s="171"/>
      <c r="R23" s="48" t="s">
        <v>138</v>
      </c>
      <c r="S23" s="48" t="s">
        <v>500</v>
      </c>
      <c r="T23" s="247" t="str">
        <f>O15</f>
        <v>Wetterdienstleister ABC</v>
      </c>
    </row>
    <row r="24" spans="2:21">
      <c r="B24" s="16"/>
      <c r="C24" s="150" t="s">
        <v>516</v>
      </c>
      <c r="D24" s="153"/>
      <c r="E24" s="130" t="s">
        <v>660</v>
      </c>
      <c r="F24" s="130" t="s">
        <v>578</v>
      </c>
      <c r="G24" s="130"/>
      <c r="H24" s="130"/>
      <c r="I24" s="130"/>
      <c r="J24" s="130"/>
      <c r="K24" s="130"/>
      <c r="L24" s="130"/>
      <c r="M24" s="130"/>
      <c r="N24" s="130"/>
      <c r="O24" s="151" t="s">
        <v>517</v>
      </c>
      <c r="Q24" s="171"/>
    </row>
    <row r="25" spans="2:21">
      <c r="B25" s="16"/>
      <c r="C25" s="150" t="s">
        <v>511</v>
      </c>
      <c r="D25" s="153"/>
      <c r="E25" s="130">
        <v>10469</v>
      </c>
      <c r="F25" s="130" t="s">
        <v>360</v>
      </c>
      <c r="G25" s="130"/>
      <c r="H25" s="130"/>
      <c r="I25" s="130"/>
      <c r="J25" s="130"/>
      <c r="K25" s="130"/>
      <c r="L25" s="130"/>
      <c r="M25" s="130"/>
      <c r="N25" s="130"/>
      <c r="O25" s="151" t="s">
        <v>142</v>
      </c>
      <c r="Q25" s="171"/>
      <c r="R25" s="48" t="s">
        <v>137</v>
      </c>
    </row>
    <row r="26" spans="2:21">
      <c r="B26" s="16"/>
      <c r="C26" s="150" t="s">
        <v>140</v>
      </c>
      <c r="D26" s="153"/>
      <c r="E26" s="130" t="s">
        <v>651</v>
      </c>
      <c r="F26" s="130" t="s">
        <v>501</v>
      </c>
      <c r="G26" s="130" t="s">
        <v>501</v>
      </c>
      <c r="H26" s="130" t="s">
        <v>501</v>
      </c>
      <c r="I26" s="130" t="s">
        <v>501</v>
      </c>
      <c r="J26" s="130" t="s">
        <v>501</v>
      </c>
      <c r="K26" s="130" t="s">
        <v>501</v>
      </c>
      <c r="L26" s="130" t="s">
        <v>501</v>
      </c>
      <c r="M26" s="130" t="s">
        <v>501</v>
      </c>
      <c r="N26" s="130" t="s">
        <v>501</v>
      </c>
      <c r="O26" s="151" t="s">
        <v>141</v>
      </c>
      <c r="Q26" s="171"/>
      <c r="R26" s="48" t="s">
        <v>501</v>
      </c>
      <c r="S26" s="48" t="s">
        <v>650</v>
      </c>
      <c r="T26" s="48" t="s">
        <v>651</v>
      </c>
      <c r="U26" s="48" t="s">
        <v>502</v>
      </c>
    </row>
    <row r="27" spans="2:21">
      <c r="B27" s="16"/>
      <c r="C27" s="154"/>
      <c r="Q27" s="171"/>
    </row>
    <row r="28" spans="2:21">
      <c r="C28" s="39" t="s">
        <v>515</v>
      </c>
      <c r="F28" s="34">
        <v>1</v>
      </c>
      <c r="I28" s="142"/>
    </row>
    <row r="29" spans="2:21" ht="15" customHeight="1">
      <c r="E29" s="27">
        <f>IF(E30&gt;$F$28,0,1)</f>
        <v>1</v>
      </c>
      <c r="F29" s="27">
        <f t="shared" ref="F29:N29" si="2">IF(F30&gt;$F$28,0,1)</f>
        <v>0</v>
      </c>
      <c r="G29" s="27">
        <f t="shared" si="2"/>
        <v>0</v>
      </c>
      <c r="H29" s="27">
        <f t="shared" si="2"/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1">
      <c r="B30" s="16"/>
      <c r="C30" s="146" t="s">
        <v>139</v>
      </c>
      <c r="D30" s="147" t="s">
        <v>255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143</v>
      </c>
      <c r="Q30" s="171"/>
    </row>
    <row r="31" spans="2:21">
      <c r="B31" s="16"/>
      <c r="C31" s="150" t="s">
        <v>522</v>
      </c>
      <c r="D31" s="152" t="s">
        <v>254</v>
      </c>
      <c r="E31" s="239">
        <f>1-SUMPRODUCT(F29:N29,F31:N31)</f>
        <v>1</v>
      </c>
      <c r="F31" s="239">
        <f>ROUND(F32/$D$32,4)</f>
        <v>0.5</v>
      </c>
      <c r="G31" s="239">
        <f t="shared" ref="G31:N31" si="3">ROUND(G32/$D$32,4)</f>
        <v>0.25</v>
      </c>
      <c r="H31" s="239">
        <f t="shared" si="3"/>
        <v>0.125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1">
      <c r="B32" s="16"/>
      <c r="C32" s="150" t="s">
        <v>529</v>
      </c>
      <c r="D32" s="241">
        <f>SUMPRODUCT(E32:N32,E29:N29)</f>
        <v>1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144</v>
      </c>
      <c r="Q32" s="171"/>
    </row>
    <row r="33" spans="2:28">
      <c r="B33" s="16"/>
      <c r="C33" s="150" t="s">
        <v>358</v>
      </c>
      <c r="D33" s="127" t="s">
        <v>357</v>
      </c>
      <c r="E33" s="130" t="s">
        <v>3</v>
      </c>
      <c r="F33" s="130" t="s">
        <v>356</v>
      </c>
      <c r="G33" s="130" t="s">
        <v>347</v>
      </c>
      <c r="H33" s="130" t="s">
        <v>348</v>
      </c>
      <c r="I33" s="130"/>
      <c r="J33" s="130"/>
      <c r="K33" s="130"/>
      <c r="L33" s="130"/>
      <c r="M33" s="130"/>
      <c r="N33" s="130"/>
      <c r="O33" s="151" t="s">
        <v>141</v>
      </c>
      <c r="Q33" s="171"/>
      <c r="R33" s="48" t="s">
        <v>3</v>
      </c>
      <c r="S33" s="48" t="s">
        <v>356</v>
      </c>
      <c r="T33" s="48" t="s">
        <v>347</v>
      </c>
      <c r="U33" s="48" t="s">
        <v>348</v>
      </c>
      <c r="V33" s="48" t="s">
        <v>349</v>
      </c>
      <c r="W33" s="48" t="s">
        <v>350</v>
      </c>
      <c r="X33" s="48" t="s">
        <v>351</v>
      </c>
      <c r="Y33" s="48" t="s">
        <v>352</v>
      </c>
      <c r="Z33" s="48" t="s">
        <v>353</v>
      </c>
      <c r="AA33" s="48" t="s">
        <v>354</v>
      </c>
      <c r="AB33" s="48" t="s">
        <v>355</v>
      </c>
    </row>
    <row r="34" spans="2:28">
      <c r="B34" s="16"/>
      <c r="C34" s="150" t="s">
        <v>447</v>
      </c>
      <c r="D34" s="127" t="s">
        <v>446</v>
      </c>
      <c r="E34" s="130" t="s">
        <v>508</v>
      </c>
      <c r="F34" s="130" t="s">
        <v>508</v>
      </c>
      <c r="G34" s="130" t="s">
        <v>508</v>
      </c>
      <c r="H34" s="130" t="s">
        <v>508</v>
      </c>
      <c r="I34" s="135"/>
      <c r="J34" s="135"/>
      <c r="K34" s="135"/>
      <c r="L34" s="135"/>
      <c r="M34" s="135"/>
      <c r="N34" s="135"/>
      <c r="O34" s="151" t="s">
        <v>141</v>
      </c>
      <c r="Q34" s="171"/>
      <c r="R34" s="48" t="s">
        <v>508</v>
      </c>
      <c r="S34" s="48" t="s">
        <v>509</v>
      </c>
    </row>
    <row r="35" spans="2:28">
      <c r="B35" s="16"/>
      <c r="C35" s="150" t="s">
        <v>601</v>
      </c>
      <c r="D35" s="127" t="s">
        <v>602</v>
      </c>
      <c r="E35" s="130" t="s">
        <v>600</v>
      </c>
      <c r="F35" s="130" t="s">
        <v>600</v>
      </c>
      <c r="G35" s="130" t="s">
        <v>600</v>
      </c>
      <c r="H35" s="130" t="s">
        <v>600</v>
      </c>
      <c r="I35" s="130" t="s">
        <v>600</v>
      </c>
      <c r="J35" s="130" t="s">
        <v>600</v>
      </c>
      <c r="K35" s="130" t="s">
        <v>600</v>
      </c>
      <c r="L35" s="130" t="s">
        <v>600</v>
      </c>
      <c r="M35" s="130" t="s">
        <v>600</v>
      </c>
      <c r="N35" s="130" t="s">
        <v>600</v>
      </c>
      <c r="O35" s="151" t="s">
        <v>141</v>
      </c>
      <c r="Q35" s="171"/>
      <c r="R35" s="48" t="s">
        <v>600</v>
      </c>
      <c r="S35" s="48" t="s">
        <v>603</v>
      </c>
      <c r="T35" s="40"/>
    </row>
    <row r="36" spans="2:28">
      <c r="B36" s="16"/>
      <c r="C36" s="153" t="s">
        <v>439</v>
      </c>
      <c r="D36" s="97" t="s">
        <v>534</v>
      </c>
      <c r="E36" s="135" t="s">
        <v>651</v>
      </c>
      <c r="F36" s="135" t="s">
        <v>448</v>
      </c>
      <c r="G36" s="135" t="s">
        <v>449</v>
      </c>
      <c r="H36" s="135" t="s">
        <v>449</v>
      </c>
      <c r="I36" s="135"/>
      <c r="J36" s="135"/>
      <c r="K36" s="135"/>
      <c r="L36" s="135"/>
      <c r="M36" s="135"/>
      <c r="N36" s="135"/>
      <c r="O36" s="151" t="s">
        <v>141</v>
      </c>
      <c r="Q36" s="171"/>
      <c r="R36" s="48" t="s">
        <v>449</v>
      </c>
      <c r="S36" s="48" t="s">
        <v>448</v>
      </c>
    </row>
    <row r="37" spans="2:28" ht="15.75" thickBot="1"/>
    <row r="38" spans="2:28">
      <c r="C38" s="156" t="s">
        <v>266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346</v>
      </c>
      <c r="D39" s="160"/>
      <c r="E39" s="160" t="s">
        <v>527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528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520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525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526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531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532</v>
      </c>
      <c r="D46" s="163" t="s">
        <v>530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359</v>
      </c>
      <c r="K46" s="160"/>
      <c r="L46" s="160"/>
      <c r="M46" s="160"/>
      <c r="N46" s="160"/>
      <c r="O46" s="161"/>
    </row>
    <row r="47" spans="2:28">
      <c r="C47" s="162" t="s">
        <v>345</v>
      </c>
      <c r="D47" s="163" t="s">
        <v>530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359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575</v>
      </c>
    </row>
    <row r="51" spans="2:15">
      <c r="I51" s="1"/>
    </row>
    <row r="52" spans="2:15">
      <c r="C52" s="39" t="s">
        <v>539</v>
      </c>
      <c r="F52" s="131">
        <f>F18</f>
        <v>1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0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514</v>
      </c>
      <c r="D54" s="147" t="s">
        <v>510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143</v>
      </c>
    </row>
    <row r="55" spans="2:15">
      <c r="B55" s="16"/>
      <c r="C55" s="150" t="s">
        <v>521</v>
      </c>
      <c r="D55" s="127" t="s">
        <v>512</v>
      </c>
      <c r="E55" s="239">
        <f>1-SUMPRODUCT(F53:N53,F55:N55)</f>
        <v>1</v>
      </c>
      <c r="F55" s="239">
        <f>ROUND(F56/$D$56,4)</f>
        <v>1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533</v>
      </c>
      <c r="D56" s="152">
        <f>SUMPRODUCT(E56:N56,E53:N53)</f>
        <v>1</v>
      </c>
      <c r="E56" s="240">
        <f t="shared" ref="E56:N56" si="6">E22</f>
        <v>1</v>
      </c>
      <c r="F56" s="240">
        <f t="shared" si="6"/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144</v>
      </c>
    </row>
    <row r="57" spans="2:15">
      <c r="B57" s="16"/>
      <c r="C57" s="150" t="s">
        <v>136</v>
      </c>
      <c r="D57" s="153"/>
      <c r="E57" s="130" t="str">
        <f t="shared" ref="E57:N57" si="7">E23</f>
        <v>DWD</v>
      </c>
      <c r="F57" s="130" t="str">
        <f t="shared" si="7"/>
        <v>DWD</v>
      </c>
      <c r="G57" s="130" t="str">
        <f t="shared" si="7"/>
        <v>DWD</v>
      </c>
      <c r="H57" s="130" t="str">
        <f t="shared" si="7"/>
        <v>DWD</v>
      </c>
      <c r="I57" s="130" t="str">
        <f t="shared" si="7"/>
        <v>DWD</v>
      </c>
      <c r="J57" s="130" t="str">
        <f t="shared" si="7"/>
        <v>DWD</v>
      </c>
      <c r="K57" s="130" t="str">
        <f t="shared" si="7"/>
        <v>DWD</v>
      </c>
      <c r="L57" s="130" t="str">
        <f t="shared" si="7"/>
        <v>DWD</v>
      </c>
      <c r="M57" s="130" t="str">
        <f t="shared" si="7"/>
        <v>DWD</v>
      </c>
      <c r="N57" s="130" t="str">
        <f t="shared" si="7"/>
        <v>DWD</v>
      </c>
      <c r="O57" s="151" t="s">
        <v>141</v>
      </c>
    </row>
    <row r="58" spans="2:15">
      <c r="B58" s="16"/>
      <c r="C58" s="150" t="s">
        <v>516</v>
      </c>
      <c r="D58" s="153"/>
      <c r="E58" s="130" t="str">
        <f t="shared" ref="E58:N58" si="8">E24</f>
        <v>Leipzig/Halle</v>
      </c>
      <c r="F58" s="130" t="str">
        <f t="shared" si="8"/>
        <v>DEF-St.</v>
      </c>
      <c r="G58" s="130">
        <f t="shared" si="8"/>
        <v>0</v>
      </c>
      <c r="H58" s="130">
        <f t="shared" si="8"/>
        <v>0</v>
      </c>
      <c r="I58" s="130">
        <f t="shared" si="8"/>
        <v>0</v>
      </c>
      <c r="J58" s="130">
        <f t="shared" si="8"/>
        <v>0</v>
      </c>
      <c r="K58" s="130">
        <f t="shared" si="8"/>
        <v>0</v>
      </c>
      <c r="L58" s="130">
        <f t="shared" si="8"/>
        <v>0</v>
      </c>
      <c r="M58" s="130">
        <f t="shared" si="8"/>
        <v>0</v>
      </c>
      <c r="N58" s="130">
        <f t="shared" si="8"/>
        <v>0</v>
      </c>
      <c r="O58" s="151" t="s">
        <v>517</v>
      </c>
    </row>
    <row r="59" spans="2:15">
      <c r="B59" s="16"/>
      <c r="C59" s="150" t="s">
        <v>511</v>
      </c>
      <c r="D59" s="153"/>
      <c r="E59" s="130">
        <f t="shared" ref="E59:N59" si="9">E25</f>
        <v>10469</v>
      </c>
      <c r="F59" s="130" t="str">
        <f t="shared" si="9"/>
        <v>xxxxx</v>
      </c>
      <c r="G59" s="130">
        <f t="shared" si="9"/>
        <v>0</v>
      </c>
      <c r="H59" s="130">
        <f t="shared" si="9"/>
        <v>0</v>
      </c>
      <c r="I59" s="130">
        <f t="shared" si="9"/>
        <v>0</v>
      </c>
      <c r="J59" s="130">
        <f t="shared" si="9"/>
        <v>0</v>
      </c>
      <c r="K59" s="130">
        <f t="shared" si="9"/>
        <v>0</v>
      </c>
      <c r="L59" s="130">
        <f t="shared" si="9"/>
        <v>0</v>
      </c>
      <c r="M59" s="130">
        <f t="shared" si="9"/>
        <v>0</v>
      </c>
      <c r="N59" s="130">
        <f t="shared" si="9"/>
        <v>0</v>
      </c>
      <c r="O59" s="151" t="s">
        <v>142</v>
      </c>
    </row>
    <row r="60" spans="2:15">
      <c r="B60" s="16"/>
      <c r="C60" s="150" t="s">
        <v>140</v>
      </c>
      <c r="D60" s="153"/>
      <c r="E60" s="132" t="s">
        <v>501</v>
      </c>
      <c r="F60" s="132" t="str">
        <f t="shared" ref="F60:N60" si="10">F26</f>
        <v>Temp. (2m)</v>
      </c>
      <c r="G60" s="132" t="str">
        <f t="shared" si="10"/>
        <v>Temp. (2m)</v>
      </c>
      <c r="H60" s="132" t="str">
        <f t="shared" si="10"/>
        <v>Temp. (2m)</v>
      </c>
      <c r="I60" s="132" t="str">
        <f t="shared" si="10"/>
        <v>Temp. (2m)</v>
      </c>
      <c r="J60" s="132" t="str">
        <f t="shared" si="10"/>
        <v>Temp. (2m)</v>
      </c>
      <c r="K60" s="132" t="str">
        <f t="shared" si="10"/>
        <v>Temp. (2m)</v>
      </c>
      <c r="L60" s="132" t="str">
        <f t="shared" si="10"/>
        <v>Temp. (2m)</v>
      </c>
      <c r="M60" s="132" t="str">
        <f t="shared" si="10"/>
        <v>Temp. (2m)</v>
      </c>
      <c r="N60" s="132" t="str">
        <f t="shared" si="10"/>
        <v>Temp. (2m)</v>
      </c>
      <c r="O60" s="151" t="s">
        <v>141</v>
      </c>
    </row>
    <row r="61" spans="2:15"/>
    <row r="62" spans="2:15">
      <c r="C62" s="39" t="s">
        <v>515</v>
      </c>
      <c r="F62" s="131">
        <v>4</v>
      </c>
    </row>
    <row r="63" spans="2:15" ht="15" customHeight="1">
      <c r="E63" s="27">
        <f>IF(E64&gt;$F$62,0,1)</f>
        <v>1</v>
      </c>
      <c r="F63" s="27">
        <f t="shared" ref="F63:N63" si="11">IF(F64&gt;$F$62,0,1)</f>
        <v>1</v>
      </c>
      <c r="G63" s="27">
        <f t="shared" si="11"/>
        <v>1</v>
      </c>
      <c r="H63" s="27">
        <f t="shared" si="11"/>
        <v>1</v>
      </c>
      <c r="I63" s="27">
        <f t="shared" si="11"/>
        <v>0</v>
      </c>
      <c r="J63" s="27">
        <f t="shared" si="11"/>
        <v>0</v>
      </c>
      <c r="K63" s="27">
        <f t="shared" si="11"/>
        <v>0</v>
      </c>
      <c r="L63" s="27">
        <f t="shared" si="11"/>
        <v>0</v>
      </c>
      <c r="M63" s="27">
        <f t="shared" si="11"/>
        <v>0</v>
      </c>
      <c r="N63" s="27">
        <f t="shared" si="11"/>
        <v>0</v>
      </c>
    </row>
    <row r="64" spans="2:15" ht="18" customHeight="1">
      <c r="C64" s="146" t="s">
        <v>139</v>
      </c>
      <c r="D64" s="147" t="s">
        <v>255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143</v>
      </c>
    </row>
    <row r="65" spans="2:15">
      <c r="B65" s="16"/>
      <c r="C65" s="150" t="s">
        <v>522</v>
      </c>
      <c r="D65" s="152" t="s">
        <v>254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12">ROUND(G66/$D$66,4)</f>
        <v>0.1333</v>
      </c>
      <c r="H65" s="239">
        <f t="shared" si="12"/>
        <v>6.6699999999999995E-2</v>
      </c>
      <c r="I65" s="239">
        <f t="shared" si="12"/>
        <v>0</v>
      </c>
      <c r="J65" s="239">
        <f t="shared" si="12"/>
        <v>0</v>
      </c>
      <c r="K65" s="239">
        <f t="shared" si="12"/>
        <v>0</v>
      </c>
      <c r="L65" s="239">
        <f t="shared" si="12"/>
        <v>0</v>
      </c>
      <c r="M65" s="239">
        <f t="shared" si="12"/>
        <v>0</v>
      </c>
      <c r="N65" s="239">
        <f t="shared" si="12"/>
        <v>0</v>
      </c>
      <c r="O65" s="151"/>
    </row>
    <row r="66" spans="2:15">
      <c r="B66" s="16"/>
      <c r="C66" s="150" t="s">
        <v>529</v>
      </c>
      <c r="D66" s="152">
        <f>SUMPRODUCT(E66:N66,E63:N63)</f>
        <v>1.875</v>
      </c>
      <c r="E66" s="245">
        <f>E32</f>
        <v>1</v>
      </c>
      <c r="F66" s="245">
        <f t="shared" ref="F66:N66" si="13">F32</f>
        <v>0.5</v>
      </c>
      <c r="G66" s="245">
        <f t="shared" si="13"/>
        <v>0.25</v>
      </c>
      <c r="H66" s="245">
        <f t="shared" si="13"/>
        <v>0.125</v>
      </c>
      <c r="I66" s="245">
        <f t="shared" si="13"/>
        <v>0</v>
      </c>
      <c r="J66" s="245">
        <f t="shared" si="13"/>
        <v>0</v>
      </c>
      <c r="K66" s="245">
        <f t="shared" si="13"/>
        <v>0</v>
      </c>
      <c r="L66" s="245">
        <f t="shared" si="13"/>
        <v>0</v>
      </c>
      <c r="M66" s="245">
        <f t="shared" si="13"/>
        <v>0</v>
      </c>
      <c r="N66" s="245">
        <f t="shared" si="13"/>
        <v>0</v>
      </c>
      <c r="O66" s="151" t="s">
        <v>144</v>
      </c>
    </row>
    <row r="67" spans="2:15">
      <c r="B67" s="16"/>
      <c r="C67" s="150" t="s">
        <v>358</v>
      </c>
      <c r="D67" s="127" t="s">
        <v>357</v>
      </c>
      <c r="E67" s="130" t="str">
        <f>E33</f>
        <v>D</v>
      </c>
      <c r="F67" s="130" t="str">
        <f t="shared" ref="F67:N67" si="14">F33</f>
        <v>D-1</v>
      </c>
      <c r="G67" s="130" t="str">
        <f t="shared" si="14"/>
        <v>D-2</v>
      </c>
      <c r="H67" s="130" t="str">
        <f t="shared" si="14"/>
        <v>D-3</v>
      </c>
      <c r="I67" s="130">
        <f t="shared" si="14"/>
        <v>0</v>
      </c>
      <c r="J67" s="130">
        <f t="shared" si="14"/>
        <v>0</v>
      </c>
      <c r="K67" s="130">
        <f t="shared" si="14"/>
        <v>0</v>
      </c>
      <c r="L67" s="130">
        <f t="shared" si="14"/>
        <v>0</v>
      </c>
      <c r="M67" s="130">
        <f t="shared" si="14"/>
        <v>0</v>
      </c>
      <c r="N67" s="130">
        <f t="shared" si="14"/>
        <v>0</v>
      </c>
      <c r="O67" s="151" t="s">
        <v>141</v>
      </c>
    </row>
    <row r="68" spans="2:15">
      <c r="B68" s="16"/>
      <c r="C68" s="150" t="s">
        <v>447</v>
      </c>
      <c r="D68" s="127" t="s">
        <v>446</v>
      </c>
      <c r="E68" s="133" t="s">
        <v>509</v>
      </c>
      <c r="F68" s="133" t="s">
        <v>509</v>
      </c>
      <c r="G68" s="133" t="s">
        <v>509</v>
      </c>
      <c r="H68" s="133" t="s">
        <v>509</v>
      </c>
      <c r="I68" s="135">
        <f t="shared" ref="I68:N68" si="15">I34</f>
        <v>0</v>
      </c>
      <c r="J68" s="135">
        <f t="shared" si="15"/>
        <v>0</v>
      </c>
      <c r="K68" s="135">
        <f t="shared" si="15"/>
        <v>0</v>
      </c>
      <c r="L68" s="135">
        <f t="shared" si="15"/>
        <v>0</v>
      </c>
      <c r="M68" s="135">
        <f t="shared" si="15"/>
        <v>0</v>
      </c>
      <c r="N68" s="135">
        <f t="shared" si="15"/>
        <v>0</v>
      </c>
      <c r="O68" s="151" t="s">
        <v>141</v>
      </c>
    </row>
    <row r="69" spans="2:15">
      <c r="B69" s="16"/>
      <c r="C69" s="150" t="s">
        <v>601</v>
      </c>
      <c r="D69" s="127" t="s">
        <v>602</v>
      </c>
      <c r="E69" s="133" t="str">
        <f>E35</f>
        <v>CET/CEST</v>
      </c>
      <c r="F69" s="133" t="str">
        <f t="shared" ref="F69:N69" si="16">F35</f>
        <v>CET/CEST</v>
      </c>
      <c r="G69" s="133" t="str">
        <f t="shared" si="16"/>
        <v>CET/CEST</v>
      </c>
      <c r="H69" s="133" t="str">
        <f t="shared" si="16"/>
        <v>CET/CEST</v>
      </c>
      <c r="I69" s="135" t="str">
        <f t="shared" si="16"/>
        <v>CET/CEST</v>
      </c>
      <c r="J69" s="135" t="str">
        <f t="shared" si="16"/>
        <v>CET/CEST</v>
      </c>
      <c r="K69" s="135" t="str">
        <f t="shared" si="16"/>
        <v>CET/CEST</v>
      </c>
      <c r="L69" s="135" t="str">
        <f t="shared" si="16"/>
        <v>CET/CEST</v>
      </c>
      <c r="M69" s="135" t="str">
        <f t="shared" si="16"/>
        <v>CET/CEST</v>
      </c>
      <c r="N69" s="135" t="str">
        <f t="shared" si="16"/>
        <v>CET/CEST</v>
      </c>
      <c r="O69" s="151" t="s">
        <v>141</v>
      </c>
    </row>
    <row r="70" spans="2:15">
      <c r="B70" s="16"/>
      <c r="C70" s="153" t="s">
        <v>439</v>
      </c>
      <c r="D70" s="97" t="s">
        <v>534</v>
      </c>
      <c r="E70" s="136" t="s">
        <v>449</v>
      </c>
      <c r="F70" s="136" t="s">
        <v>449</v>
      </c>
      <c r="G70" s="136" t="str">
        <f t="shared" ref="G70:N70" si="17">G36</f>
        <v>Temp.-IST</v>
      </c>
      <c r="H70" s="136" t="str">
        <f t="shared" si="17"/>
        <v>Temp.-IST</v>
      </c>
      <c r="I70" s="136">
        <f t="shared" si="17"/>
        <v>0</v>
      </c>
      <c r="J70" s="136">
        <f t="shared" si="17"/>
        <v>0</v>
      </c>
      <c r="K70" s="136">
        <f t="shared" si="17"/>
        <v>0</v>
      </c>
      <c r="L70" s="136">
        <f t="shared" si="17"/>
        <v>0</v>
      </c>
      <c r="M70" s="136">
        <f t="shared" si="17"/>
        <v>0</v>
      </c>
      <c r="N70" s="136">
        <f t="shared" si="17"/>
        <v>0</v>
      </c>
      <c r="O70" s="151" t="s">
        <v>141</v>
      </c>
    </row>
    <row r="71" spans="2:15"/>
    <row r="72" spans="2:15" ht="15.75" customHeight="1">
      <c r="C72" s="292" t="s">
        <v>576</v>
      </c>
      <c r="D72" s="292"/>
      <c r="E72" s="292"/>
      <c r="F72" s="292"/>
    </row>
    <row r="73" spans="2:15"/>
    <row r="78" spans="2:15"/>
    <row r="79" spans="2:15"/>
  </sheetData>
  <mergeCells count="4">
    <mergeCell ref="C13:E13"/>
    <mergeCell ref="C14:D14"/>
    <mergeCell ref="C15:D15"/>
    <mergeCell ref="C72:F72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1:N36">
    <cfRule type="expression" dxfId="32" priority="7">
      <formula>IF(E$30&gt;$F$28,1,0)</formula>
    </cfRule>
  </conditionalFormatting>
  <conditionalFormatting sqref="E32:N36">
    <cfRule type="expression" dxfId="31" priority="27">
      <formula>IF(E$30&lt;=$F$28,1,0)</formula>
    </cfRule>
  </conditionalFormatting>
  <conditionalFormatting sqref="E55:N60">
    <cfRule type="expression" dxfId="30" priority="8">
      <formula>IF(E$54&gt;$F$52,1,0)</formula>
    </cfRule>
  </conditionalFormatting>
  <conditionalFormatting sqref="E56:N59">
    <cfRule type="expression" dxfId="29" priority="22">
      <formula>IF(E$54&lt;=$F$52,1,0)</formula>
    </cfRule>
  </conditionalFormatting>
  <conditionalFormatting sqref="E60:N60">
    <cfRule type="expression" dxfId="28" priority="21">
      <formula>IF(E$54&lt;=$F$52,1,0)</formula>
    </cfRule>
  </conditionalFormatting>
  <conditionalFormatting sqref="E65:N70">
    <cfRule type="expression" dxfId="27" priority="1">
      <formula>IF(E$64&gt;$F$62,1,0)</formula>
    </cfRule>
  </conditionalFormatting>
  <conditionalFormatting sqref="E66:N69">
    <cfRule type="expression" dxfId="26" priority="2">
      <formula>IF(E$64&lt;=$F$62,1,0)</formula>
    </cfRule>
  </conditionalFormatting>
  <conditionalFormatting sqref="E70:N70">
    <cfRule type="expression" dxfId="25" priority="6">
      <formula>IF(E$64&lt;=$F$62,1,0)</formula>
    </cfRule>
  </conditionalFormatting>
  <conditionalFormatting sqref="H8:H11">
    <cfRule type="expression" dxfId="24" priority="5">
      <formula>IF($F$9=1,1,0)</formula>
    </cfRule>
  </conditionalFormatting>
  <dataValidations count="16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70:N70 F36:N36" xr:uid="{00000000-0002-0000-0300-000001000000}">
      <formula1>$R$36:$S$36</formula1>
    </dataValidation>
    <dataValidation type="list" allowBlank="1" showInputMessage="1" showErrorMessage="1" errorTitle="Prognosezeitraum" error="Werte zwischen 0 - 240h" sqref="E33:N33 E67:N67" xr:uid="{00000000-0002-0000-0300-000002000000}">
      <formula1>$R$33:$AB$33</formula1>
    </dataValidation>
    <dataValidation type="list" allowBlank="1" showInputMessage="1" showErrorMessage="1" sqref="E34:N34 E68:N68" xr:uid="{00000000-0002-0000-0300-000003000000}">
      <formula1>$R$34:$S$34</formula1>
    </dataValidation>
    <dataValidation type="list" allowBlank="1" showInputMessage="1" showErrorMessage="1" sqref="E23:N23 E57:N57" xr:uid="{00000000-0002-0000-0300-000004000000}">
      <formula1>$R$23:$T$23</formula1>
    </dataValidation>
    <dataValidation type="list" allowBlank="1" showInputMessage="1" showErrorMessage="1" sqref="F52" xr:uid="{00000000-0002-0000-0300-000005000000}">
      <formula1>$E$54:$N$54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8" xr:uid="{00000000-0002-0000-0300-000007000000}">
      <formula1>$E$30:$N$30</formula1>
    </dataValidation>
    <dataValidation type="list" allowBlank="1" showInputMessage="1" showErrorMessage="1" sqref="F62" xr:uid="{00000000-0002-0000-0300-000008000000}">
      <formula1>$E$64:$N$64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5:N35 E69:N69" xr:uid="{00000000-0002-0000-0300-00000B000000}">
      <formula1>$R$35:$S$35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F60:N60" xr:uid="{00000000-0002-0000-0300-00000D000000}">
      <formula1>#REF!</formula1>
    </dataValidation>
    <dataValidation type="list" errorStyle="warning" allowBlank="1" showInputMessage="1" showErrorMessage="1" sqref="E36" xr:uid="{00000000-0002-0000-0300-00000E000000}">
      <formula1>$R$36:$S$36</formula1>
    </dataValidation>
    <dataValidation type="list" errorStyle="warning" allowBlank="1" showInputMessage="1" showErrorMessage="1" sqref="E60" xr:uid="{00000000-0002-0000-0300-00000F000000}">
      <formula1>#REF!</formula1>
    </dataValidation>
  </dataValidations>
  <pageMargins left="0.25" right="0.25" top="0.75" bottom="0.75" header="0.3" footer="0.3"/>
  <pageSetup paperSize="9" scale="43" orientation="landscape" r:id="rId1"/>
  <ignoredErrors>
    <ignoredError sqref="E66:N67 F36:N36 F25:N25 E56:N59 E22:F22 I22:N22 F52 G24:N24 G70:N70 E32:N34 E69:N69 I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10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540</v>
      </c>
    </row>
    <row r="3" spans="1:56" ht="15" customHeight="1">
      <c r="B3" s="6"/>
    </row>
    <row r="4" spans="1:56">
      <c r="C4" s="39" t="s">
        <v>441</v>
      </c>
      <c r="D4" s="40"/>
      <c r="E4" s="41" t="s">
        <v>483</v>
      </c>
    </row>
    <row r="5" spans="1:56">
      <c r="C5" s="39" t="s">
        <v>440</v>
      </c>
      <c r="D5" s="40"/>
      <c r="E5" s="41" t="str">
        <f>Netzbetreiber!D28</f>
        <v>EVIP GmbH</v>
      </c>
    </row>
    <row r="6" spans="1:56">
      <c r="C6" s="39" t="s">
        <v>484</v>
      </c>
      <c r="D6" s="40"/>
      <c r="E6" s="43">
        <v>123456789</v>
      </c>
    </row>
    <row r="7" spans="1:56">
      <c r="C7" s="39" t="s">
        <v>132</v>
      </c>
      <c r="D7" s="40"/>
      <c r="E7" s="35">
        <v>42278</v>
      </c>
    </row>
    <row r="8" spans="1:56">
      <c r="H8" s="67" t="s">
        <v>493</v>
      </c>
    </row>
    <row r="9" spans="1:56">
      <c r="C9" s="39" t="s">
        <v>518</v>
      </c>
      <c r="F9" s="128">
        <f>'SLP-Verfahren'!D43</f>
        <v>1</v>
      </c>
      <c r="H9" s="142" t="s">
        <v>597</v>
      </c>
    </row>
    <row r="10" spans="1:56">
      <c r="C10" s="39" t="s">
        <v>581</v>
      </c>
      <c r="F10" s="248">
        <v>2</v>
      </c>
      <c r="G10" s="40"/>
      <c r="H10" s="142" t="s">
        <v>598</v>
      </c>
    </row>
    <row r="11" spans="1:56">
      <c r="C11" s="39" t="s">
        <v>599</v>
      </c>
      <c r="F11" s="246">
        <f>INDEX('SLP-Verfahren'!D45:D59,'SLP-Temp-Gebiet #02'!F10)</f>
        <v>0</v>
      </c>
      <c r="G11" s="249"/>
      <c r="H11" s="67"/>
    </row>
    <row r="12" spans="1:56"/>
    <row r="13" spans="1:56" ht="18" customHeight="1">
      <c r="C13" s="290" t="s">
        <v>580</v>
      </c>
      <c r="D13" s="290"/>
      <c r="E13" s="290"/>
      <c r="F13" s="16" t="s">
        <v>544</v>
      </c>
      <c r="G13" t="s">
        <v>542</v>
      </c>
      <c r="H13" s="218" t="s">
        <v>559</v>
      </c>
      <c r="I13" s="40"/>
    </row>
    <row r="14" spans="1:56" ht="19.5" customHeight="1">
      <c r="C14" s="291" t="s">
        <v>444</v>
      </c>
      <c r="D14" s="291"/>
      <c r="E14" s="5" t="s">
        <v>445</v>
      </c>
      <c r="F14" s="219" t="s">
        <v>84</v>
      </c>
      <c r="G14" s="220" t="s">
        <v>568</v>
      </c>
      <c r="H14" s="36">
        <v>0</v>
      </c>
      <c r="I14" s="40"/>
      <c r="O14" s="143" t="s">
        <v>523</v>
      </c>
      <c r="R14" s="48" t="s">
        <v>560</v>
      </c>
      <c r="S14" s="48" t="s">
        <v>561</v>
      </c>
      <c r="T14" s="48" t="s">
        <v>562</v>
      </c>
      <c r="U14" s="48" t="s">
        <v>563</v>
      </c>
      <c r="V14" s="48" t="s">
        <v>543</v>
      </c>
      <c r="W14" s="48" t="s">
        <v>564</v>
      </c>
      <c r="X14" s="48" t="s">
        <v>565</v>
      </c>
      <c r="Y14" s="48" t="s">
        <v>566</v>
      </c>
      <c r="Z14" s="48" t="s">
        <v>567</v>
      </c>
      <c r="AA14" s="48" t="s">
        <v>568</v>
      </c>
      <c r="AB14" s="48" t="s">
        <v>569</v>
      </c>
      <c r="AC14" s="48" t="s">
        <v>570</v>
      </c>
    </row>
    <row r="15" spans="1:56" ht="19.5" customHeight="1">
      <c r="C15" s="291" t="s">
        <v>384</v>
      </c>
      <c r="D15" s="291"/>
      <c r="E15" s="5" t="s">
        <v>445</v>
      </c>
      <c r="F15" s="219" t="s">
        <v>70</v>
      </c>
      <c r="G15" s="220" t="s">
        <v>562</v>
      </c>
      <c r="H15" s="36">
        <v>0</v>
      </c>
      <c r="I15" s="40"/>
      <c r="O15" s="134" t="s">
        <v>524</v>
      </c>
      <c r="R15" s="217" t="s">
        <v>70</v>
      </c>
      <c r="S15" s="217" t="s">
        <v>71</v>
      </c>
      <c r="T15" s="217" t="s">
        <v>72</v>
      </c>
      <c r="U15" s="217" t="s">
        <v>73</v>
      </c>
      <c r="V15" s="217" t="s">
        <v>74</v>
      </c>
      <c r="W15" s="217" t="s">
        <v>75</v>
      </c>
      <c r="X15" s="217" t="s">
        <v>76</v>
      </c>
      <c r="Y15" s="217" t="s">
        <v>77</v>
      </c>
      <c r="Z15" s="217" t="s">
        <v>78</v>
      </c>
      <c r="AA15" s="217" t="s">
        <v>79</v>
      </c>
      <c r="AB15" s="217" t="s">
        <v>80</v>
      </c>
      <c r="AC15" s="217" t="s">
        <v>81</v>
      </c>
      <c r="AD15" s="217" t="s">
        <v>82</v>
      </c>
      <c r="AE15" s="217" t="s">
        <v>83</v>
      </c>
      <c r="AF15" s="217" t="s">
        <v>84</v>
      </c>
      <c r="AG15" s="217" t="s">
        <v>367</v>
      </c>
      <c r="AH15" s="217" t="s">
        <v>490</v>
      </c>
      <c r="AI15" s="217" t="s">
        <v>545</v>
      </c>
      <c r="AJ15" s="217" t="s">
        <v>546</v>
      </c>
      <c r="AK15" s="217" t="s">
        <v>547</v>
      </c>
      <c r="AL15" s="217" t="s">
        <v>548</v>
      </c>
      <c r="AM15" s="217" t="s">
        <v>549</v>
      </c>
      <c r="AN15" s="217" t="s">
        <v>550</v>
      </c>
      <c r="AO15" s="217" t="s">
        <v>551</v>
      </c>
      <c r="AP15" s="217" t="s">
        <v>552</v>
      </c>
      <c r="AQ15" s="217" t="s">
        <v>553</v>
      </c>
      <c r="AR15" s="217" t="s">
        <v>554</v>
      </c>
      <c r="AS15" s="217" t="s">
        <v>555</v>
      </c>
      <c r="AT15" s="217" t="s">
        <v>556</v>
      </c>
      <c r="AU15" s="217" t="s">
        <v>557</v>
      </c>
      <c r="AV15" s="217" t="s">
        <v>558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513</v>
      </c>
      <c r="D17" s="144"/>
      <c r="R17" s="170"/>
      <c r="S17" s="170"/>
    </row>
    <row r="18" spans="2:20">
      <c r="C18" s="39" t="s">
        <v>519</v>
      </c>
      <c r="F18" s="34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514</v>
      </c>
      <c r="D20" s="147" t="s">
        <v>510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143</v>
      </c>
    </row>
    <row r="21" spans="2:20">
      <c r="B21" s="16"/>
      <c r="C21" s="150" t="s">
        <v>521</v>
      </c>
      <c r="D21" s="127" t="s">
        <v>512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533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144</v>
      </c>
      <c r="Q22" s="171"/>
    </row>
    <row r="23" spans="2:20">
      <c r="B23" s="16"/>
      <c r="C23" s="150" t="s">
        <v>136</v>
      </c>
      <c r="D23" s="153"/>
      <c r="E23" s="130" t="s">
        <v>138</v>
      </c>
      <c r="F23" s="130" t="s">
        <v>138</v>
      </c>
      <c r="G23" s="130" t="s">
        <v>138</v>
      </c>
      <c r="H23" s="130" t="s">
        <v>138</v>
      </c>
      <c r="I23" s="130" t="s">
        <v>138</v>
      </c>
      <c r="J23" s="130" t="s">
        <v>138</v>
      </c>
      <c r="K23" s="130" t="s">
        <v>138</v>
      </c>
      <c r="L23" s="130" t="s">
        <v>138</v>
      </c>
      <c r="M23" s="130" t="s">
        <v>138</v>
      </c>
      <c r="N23" s="130" t="s">
        <v>138</v>
      </c>
      <c r="O23" s="151" t="s">
        <v>141</v>
      </c>
      <c r="Q23" s="171"/>
      <c r="R23" s="48" t="s">
        <v>138</v>
      </c>
      <c r="S23" s="48" t="s">
        <v>500</v>
      </c>
      <c r="T23" s="247" t="str">
        <f>O15</f>
        <v>Wetterdienstleister ABC</v>
      </c>
    </row>
    <row r="24" spans="2:20">
      <c r="B24" s="16"/>
      <c r="C24" s="150" t="s">
        <v>516</v>
      </c>
      <c r="D24" s="153"/>
      <c r="E24" s="130" t="s">
        <v>577</v>
      </c>
      <c r="F24" s="130" t="s">
        <v>578</v>
      </c>
      <c r="G24" s="130"/>
      <c r="H24" s="130"/>
      <c r="I24" s="130"/>
      <c r="J24" s="130"/>
      <c r="K24" s="130"/>
      <c r="L24" s="130"/>
      <c r="M24" s="130"/>
      <c r="N24" s="130"/>
      <c r="O24" s="151" t="s">
        <v>517</v>
      </c>
      <c r="Q24" s="171"/>
    </row>
    <row r="25" spans="2:20">
      <c r="B25" s="16"/>
      <c r="C25" s="150" t="s">
        <v>511</v>
      </c>
      <c r="D25" s="153"/>
      <c r="E25" s="130" t="s">
        <v>360</v>
      </c>
      <c r="F25" s="130" t="s">
        <v>360</v>
      </c>
      <c r="G25" s="130"/>
      <c r="H25" s="130"/>
      <c r="I25" s="130"/>
      <c r="J25" s="130"/>
      <c r="K25" s="130"/>
      <c r="L25" s="130"/>
      <c r="M25" s="130"/>
      <c r="N25" s="130"/>
      <c r="O25" s="151" t="s">
        <v>142</v>
      </c>
      <c r="Q25" s="171"/>
      <c r="R25" s="48" t="s">
        <v>137</v>
      </c>
    </row>
    <row r="26" spans="2:20">
      <c r="B26" s="16"/>
      <c r="C26" s="150" t="s">
        <v>140</v>
      </c>
      <c r="D26" s="153"/>
      <c r="E26" s="130" t="s">
        <v>501</v>
      </c>
      <c r="F26" s="130" t="s">
        <v>501</v>
      </c>
      <c r="G26" s="130"/>
      <c r="H26" s="130"/>
      <c r="I26" s="130"/>
      <c r="J26" s="130"/>
      <c r="K26" s="130"/>
      <c r="L26" s="130"/>
      <c r="M26" s="130"/>
      <c r="N26" s="130"/>
      <c r="O26" s="151" t="s">
        <v>141</v>
      </c>
      <c r="Q26" s="171"/>
      <c r="R26" s="48" t="s">
        <v>501</v>
      </c>
      <c r="S26" s="48" t="s">
        <v>502</v>
      </c>
    </row>
    <row r="27" spans="2:20">
      <c r="B27" s="16"/>
      <c r="C27" s="154"/>
      <c r="Q27" s="171"/>
    </row>
    <row r="28" spans="2:20">
      <c r="C28" s="39" t="s">
        <v>515</v>
      </c>
      <c r="F28" s="34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139</v>
      </c>
      <c r="D30" s="147" t="s">
        <v>255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143</v>
      </c>
      <c r="Q30" s="171"/>
    </row>
    <row r="31" spans="2:20">
      <c r="B31" s="16"/>
      <c r="C31" s="150" t="s">
        <v>522</v>
      </c>
      <c r="D31" s="152" t="s">
        <v>254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>
      <c r="B32" s="16"/>
      <c r="C32" s="150" t="s">
        <v>529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144</v>
      </c>
      <c r="Q32" s="171"/>
    </row>
    <row r="33" spans="2:28">
      <c r="B33" s="16"/>
      <c r="C33" s="150" t="s">
        <v>358</v>
      </c>
      <c r="D33" s="127" t="s">
        <v>357</v>
      </c>
      <c r="E33" s="130" t="s">
        <v>3</v>
      </c>
      <c r="F33" s="130" t="s">
        <v>356</v>
      </c>
      <c r="G33" s="130" t="s">
        <v>347</v>
      </c>
      <c r="H33" s="130" t="s">
        <v>348</v>
      </c>
      <c r="I33" s="130"/>
      <c r="J33" s="130"/>
      <c r="K33" s="130"/>
      <c r="L33" s="130"/>
      <c r="M33" s="130"/>
      <c r="N33" s="130"/>
      <c r="O33" s="151" t="s">
        <v>141</v>
      </c>
      <c r="Q33" s="171"/>
      <c r="R33" s="48" t="s">
        <v>3</v>
      </c>
      <c r="S33" s="48" t="s">
        <v>356</v>
      </c>
      <c r="T33" s="48" t="s">
        <v>347</v>
      </c>
      <c r="U33" s="48" t="s">
        <v>348</v>
      </c>
      <c r="V33" s="48" t="s">
        <v>349</v>
      </c>
      <c r="W33" s="48" t="s">
        <v>350</v>
      </c>
      <c r="X33" s="48" t="s">
        <v>351</v>
      </c>
      <c r="Y33" s="48" t="s">
        <v>352</v>
      </c>
      <c r="Z33" s="48" t="s">
        <v>353</v>
      </c>
      <c r="AA33" s="48" t="s">
        <v>354</v>
      </c>
      <c r="AB33" s="48" t="s">
        <v>355</v>
      </c>
    </row>
    <row r="34" spans="2:28">
      <c r="B34" s="16"/>
      <c r="C34" s="150" t="s">
        <v>447</v>
      </c>
      <c r="D34" s="127" t="s">
        <v>446</v>
      </c>
      <c r="E34" s="130" t="s">
        <v>508</v>
      </c>
      <c r="F34" s="130" t="s">
        <v>508</v>
      </c>
      <c r="G34" s="130" t="s">
        <v>508</v>
      </c>
      <c r="H34" s="130" t="s">
        <v>508</v>
      </c>
      <c r="I34" s="135"/>
      <c r="J34" s="135"/>
      <c r="K34" s="135"/>
      <c r="L34" s="135"/>
      <c r="M34" s="135"/>
      <c r="N34" s="135"/>
      <c r="O34" s="151" t="s">
        <v>141</v>
      </c>
      <c r="Q34" s="171"/>
      <c r="R34" s="48" t="s">
        <v>508</v>
      </c>
      <c r="S34" s="48" t="s">
        <v>509</v>
      </c>
    </row>
    <row r="35" spans="2:28">
      <c r="B35" s="16"/>
      <c r="C35" s="150" t="s">
        <v>601</v>
      </c>
      <c r="D35" s="127" t="s">
        <v>602</v>
      </c>
      <c r="E35" s="130" t="s">
        <v>600</v>
      </c>
      <c r="F35" s="130" t="s">
        <v>600</v>
      </c>
      <c r="G35" s="130" t="s">
        <v>600</v>
      </c>
      <c r="H35" s="130" t="s">
        <v>600</v>
      </c>
      <c r="I35" s="130" t="s">
        <v>600</v>
      </c>
      <c r="J35" s="130" t="s">
        <v>600</v>
      </c>
      <c r="K35" s="130" t="s">
        <v>600</v>
      </c>
      <c r="L35" s="130" t="s">
        <v>600</v>
      </c>
      <c r="M35" s="130" t="s">
        <v>600</v>
      </c>
      <c r="N35" s="130" t="s">
        <v>600</v>
      </c>
      <c r="O35" s="151" t="s">
        <v>141</v>
      </c>
      <c r="Q35" s="171"/>
      <c r="R35" s="48" t="s">
        <v>600</v>
      </c>
      <c r="S35" s="48" t="s">
        <v>603</v>
      </c>
      <c r="T35" s="40"/>
    </row>
    <row r="36" spans="2:28">
      <c r="B36" s="16"/>
      <c r="C36" s="153" t="s">
        <v>439</v>
      </c>
      <c r="D36" s="97" t="s">
        <v>534</v>
      </c>
      <c r="E36" s="135" t="s">
        <v>448</v>
      </c>
      <c r="F36" s="135" t="s">
        <v>448</v>
      </c>
      <c r="G36" s="135" t="s">
        <v>449</v>
      </c>
      <c r="H36" s="135" t="s">
        <v>449</v>
      </c>
      <c r="I36" s="135"/>
      <c r="J36" s="135"/>
      <c r="K36" s="135"/>
      <c r="L36" s="135"/>
      <c r="M36" s="135"/>
      <c r="N36" s="135"/>
      <c r="O36" s="151" t="s">
        <v>141</v>
      </c>
      <c r="Q36" s="171"/>
      <c r="R36" s="48" t="s">
        <v>449</v>
      </c>
      <c r="S36" s="48" t="s">
        <v>448</v>
      </c>
    </row>
    <row r="37" spans="2:28" ht="15.75" thickBot="1"/>
    <row r="38" spans="2:28">
      <c r="C38" s="156" t="s">
        <v>266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346</v>
      </c>
      <c r="D39" s="160"/>
      <c r="E39" s="160" t="s">
        <v>527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528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520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525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526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531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532</v>
      </c>
      <c r="D46" s="163" t="s">
        <v>530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359</v>
      </c>
      <c r="K46" s="160"/>
      <c r="L46" s="160"/>
      <c r="M46" s="160"/>
      <c r="N46" s="160"/>
      <c r="O46" s="161"/>
    </row>
    <row r="47" spans="2:28">
      <c r="C47" s="162" t="s">
        <v>345</v>
      </c>
      <c r="D47" s="163" t="s">
        <v>530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359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575</v>
      </c>
    </row>
    <row r="51" spans="2:15">
      <c r="I51" s="1"/>
    </row>
    <row r="52" spans="2:15">
      <c r="C52" s="39" t="s">
        <v>539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514</v>
      </c>
      <c r="D54" s="147" t="s">
        <v>510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143</v>
      </c>
    </row>
    <row r="55" spans="2:15">
      <c r="B55" s="16"/>
      <c r="C55" s="150" t="s">
        <v>521</v>
      </c>
      <c r="D55" s="127" t="s">
        <v>512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533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144</v>
      </c>
    </row>
    <row r="57" spans="2:15">
      <c r="B57" s="16"/>
      <c r="C57" s="150" t="s">
        <v>136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141</v>
      </c>
    </row>
    <row r="58" spans="2:15">
      <c r="B58" s="16"/>
      <c r="C58" s="150" t="s">
        <v>516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517</v>
      </c>
    </row>
    <row r="59" spans="2:15">
      <c r="B59" s="16"/>
      <c r="C59" s="150" t="s">
        <v>511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142</v>
      </c>
    </row>
    <row r="60" spans="2:15">
      <c r="B60" s="16"/>
      <c r="C60" s="150" t="s">
        <v>140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141</v>
      </c>
    </row>
    <row r="61" spans="2:15"/>
    <row r="62" spans="2:15">
      <c r="C62" s="39" t="s">
        <v>515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139</v>
      </c>
      <c r="D64" s="147" t="s">
        <v>255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143</v>
      </c>
    </row>
    <row r="65" spans="2:15">
      <c r="B65" s="16"/>
      <c r="C65" s="150" t="s">
        <v>522</v>
      </c>
      <c r="D65" s="152" t="s">
        <v>254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>
      <c r="B66" s="16"/>
      <c r="C66" s="150" t="s">
        <v>529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144</v>
      </c>
    </row>
    <row r="67" spans="2:15">
      <c r="B67" s="16"/>
      <c r="C67" s="150" t="s">
        <v>358</v>
      </c>
      <c r="D67" s="127" t="s">
        <v>357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141</v>
      </c>
    </row>
    <row r="68" spans="2:15">
      <c r="B68" s="16"/>
      <c r="C68" s="150" t="s">
        <v>447</v>
      </c>
      <c r="D68" s="127" t="s">
        <v>446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141</v>
      </c>
    </row>
    <row r="69" spans="2:15">
      <c r="B69" s="16"/>
      <c r="C69" s="150" t="s">
        <v>601</v>
      </c>
      <c r="D69" s="127" t="s">
        <v>602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141</v>
      </c>
    </row>
    <row r="70" spans="2:15">
      <c r="B70" s="16"/>
      <c r="C70" s="153" t="s">
        <v>439</v>
      </c>
      <c r="D70" s="97" t="s">
        <v>534</v>
      </c>
      <c r="E70" s="136" t="s">
        <v>449</v>
      </c>
      <c r="F70" s="136" t="s">
        <v>449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141</v>
      </c>
    </row>
    <row r="71" spans="2:15"/>
    <row r="72" spans="2:15" ht="15.75" customHeight="1">
      <c r="C72" s="292" t="s">
        <v>576</v>
      </c>
      <c r="D72" s="292"/>
      <c r="E72" s="292"/>
      <c r="F72" s="29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H32" sqref="H3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5.140625" bestFit="1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361</v>
      </c>
    </row>
    <row r="3" spans="2:26">
      <c r="B3" t="s">
        <v>462</v>
      </c>
    </row>
    <row r="4" spans="2:26"/>
    <row r="5" spans="2:26">
      <c r="C5" s="37" t="s">
        <v>366</v>
      </c>
      <c r="D5" s="38" t="str">
        <f>Netzbetreiber!$D$9</f>
        <v>EVIP GmbH</v>
      </c>
      <c r="H5" s="67" t="s">
        <v>493</v>
      </c>
      <c r="I5" s="8" t="s">
        <v>496</v>
      </c>
    </row>
    <row r="6" spans="2:26">
      <c r="C6" s="37" t="s">
        <v>333</v>
      </c>
      <c r="D6" s="38" t="str">
        <f>Netzbetreiber!$D$28</f>
        <v>EVIP GmbH</v>
      </c>
      <c r="I6" s="8" t="s">
        <v>506</v>
      </c>
    </row>
    <row r="7" spans="2:26">
      <c r="C7" s="37" t="s">
        <v>484</v>
      </c>
      <c r="D7" s="288">
        <f>Netzbetreiber!$D$11</f>
        <v>9870105300006</v>
      </c>
    </row>
    <row r="8" spans="2:26">
      <c r="C8" s="37" t="s">
        <v>132</v>
      </c>
      <c r="D8" s="289">
        <f>Netzbetreiber!$D$6</f>
        <v>45383</v>
      </c>
      <c r="H8" t="s">
        <v>492</v>
      </c>
      <c r="J8" s="107">
        <f>COUNTA(D12:D100)</f>
        <v>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248</v>
      </c>
      <c r="C10" s="109" t="s">
        <v>491</v>
      </c>
      <c r="D10" s="108" t="s">
        <v>146</v>
      </c>
      <c r="E10" s="229" t="s">
        <v>507</v>
      </c>
      <c r="F10" s="109" t="s">
        <v>147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631</v>
      </c>
      <c r="M10" s="124" t="s">
        <v>640</v>
      </c>
      <c r="N10" s="125" t="s">
        <v>641</v>
      </c>
      <c r="O10" s="125" t="s">
        <v>642</v>
      </c>
      <c r="P10" s="126" t="s">
        <v>643</v>
      </c>
      <c r="Q10" s="120" t="s">
        <v>632</v>
      </c>
      <c r="R10" s="110" t="s">
        <v>633</v>
      </c>
      <c r="S10" s="111" t="s">
        <v>634</v>
      </c>
      <c r="T10" s="111" t="s">
        <v>635</v>
      </c>
      <c r="U10" s="111" t="s">
        <v>636</v>
      </c>
      <c r="V10" s="111" t="s">
        <v>637</v>
      </c>
      <c r="W10" s="111" t="s">
        <v>638</v>
      </c>
      <c r="X10" s="112" t="s">
        <v>639</v>
      </c>
      <c r="Y10" s="253" t="s">
        <v>644</v>
      </c>
    </row>
    <row r="11" spans="2:26" ht="15.75" thickBot="1">
      <c r="B11" s="113"/>
      <c r="C11" s="114"/>
      <c r="D11" s="252"/>
      <c r="E11" s="137"/>
      <c r="F11" s="254"/>
      <c r="H11" s="139"/>
      <c r="I11" s="139"/>
      <c r="J11" s="139"/>
      <c r="K11" s="139"/>
      <c r="L11" s="174"/>
      <c r="M11" s="139"/>
      <c r="N11" s="139"/>
      <c r="O11" s="139"/>
      <c r="P11" s="139"/>
      <c r="Q11" s="173"/>
      <c r="R11" s="140"/>
      <c r="S11" s="140"/>
      <c r="T11" s="140"/>
      <c r="U11" s="140"/>
      <c r="V11" s="140"/>
      <c r="W11" s="140"/>
      <c r="X11" s="141"/>
      <c r="Y11" s="250"/>
    </row>
    <row r="12" spans="2:26">
      <c r="B12" s="115">
        <v>1</v>
      </c>
      <c r="C12" s="116" t="str">
        <f t="shared" ref="C12:C41" si="0">$D$6</f>
        <v>EVIP GmbH</v>
      </c>
      <c r="D12" s="45" t="s">
        <v>247</v>
      </c>
      <c r="E12" s="138" t="s">
        <v>661</v>
      </c>
      <c r="F12" s="255" t="str">
        <f>VLOOKUP($E12,'BDEW-Standard'!$B$3:$M$158,F$9,0)</f>
        <v>BH3</v>
      </c>
      <c r="H12" s="230">
        <f>ROUND(VLOOKUP($E12,'BDEW-Standard'!$B$3:$M$158,H$9,0),7)</f>
        <v>2.0102471999999998</v>
      </c>
      <c r="I12" s="230">
        <f>ROUND(VLOOKUP($E12,'BDEW-Standard'!$B$3:$M$158,I$9,0),7)</f>
        <v>-35.253212400000002</v>
      </c>
      <c r="J12" s="230">
        <f>ROUND(VLOOKUP($E12,'BDEW-Standard'!$B$3:$M$158,J$9,0),7)</f>
        <v>6.1544406</v>
      </c>
      <c r="K12" s="230">
        <f>ROUND(VLOOKUP($E12,'BDEW-Standard'!$B$3:$M$158,K$9,0),7)</f>
        <v>0.32947409999999999</v>
      </c>
      <c r="L12" s="231">
        <f>ROUND(VLOOKUP($E12,'BDEW-Standard'!$B$3:$M$158,L$9,0),1)</f>
        <v>40</v>
      </c>
      <c r="M12" s="230">
        <f>ROUND(VLOOKUP($E12,'BDEW-Standard'!$B$3:$M$158,M$9,0),7)</f>
        <v>0</v>
      </c>
      <c r="N12" s="230">
        <f>ROUND(VLOOKUP($E12,'BDEW-Standard'!$B$3:$M$158,N$9,0),7)</f>
        <v>0</v>
      </c>
      <c r="O12" s="230">
        <f>ROUND(VLOOKUP($E12,'BDEW-Standard'!$B$3:$M$158,O$9,0),7)</f>
        <v>0</v>
      </c>
      <c r="P12" s="230">
        <f>ROUND(VLOOKUP($E12,'BDEW-Standard'!$B$3:$M$158,P$9,0),7)</f>
        <v>0</v>
      </c>
      <c r="Q12" s="232">
        <f t="shared" ref="Q12:Q16" si="1">($H12/(1+($I12/($Q$9-$L12))^$J12)+$K12)+MAX($M12*$Q$9+$N12,$O12*$Q$9+$P12)</f>
        <v>1.0436896084076008</v>
      </c>
      <c r="R12" s="233">
        <f>ROUND(VLOOKUP(MID($E12,4,3),'Wochentag F(WT)'!$B$7:$J$22,R$9,0),4)</f>
        <v>0.97670000000000001</v>
      </c>
      <c r="S12" s="233">
        <f>ROUND(VLOOKUP(MID($E12,4,3),'Wochentag F(WT)'!$B$7:$J$22,S$9,0),4)</f>
        <v>1.0388999999999999</v>
      </c>
      <c r="T12" s="233">
        <f>ROUND(VLOOKUP(MID($E12,4,3),'Wochentag F(WT)'!$B$7:$J$22,T$9,0),4)</f>
        <v>1.0027999999999999</v>
      </c>
      <c r="U12" s="233">
        <f>ROUND(VLOOKUP(MID($E12,4,3),'Wochentag F(WT)'!$B$7:$J$22,U$9,0),4)</f>
        <v>1.0162</v>
      </c>
      <c r="V12" s="233">
        <f>ROUND(VLOOKUP(MID($E12,4,3),'Wochentag F(WT)'!$B$7:$J$22,V$9,0),4)</f>
        <v>1.0024</v>
      </c>
      <c r="W12" s="233">
        <f>ROUND(VLOOKUP(MID($E12,4,3),'Wochentag F(WT)'!$B$7:$J$22,W$9,0),4)</f>
        <v>1.0043</v>
      </c>
      <c r="X12" s="234">
        <f>7-SUM(R12:W12)</f>
        <v>0.95870000000000122</v>
      </c>
      <c r="Y12" s="251"/>
      <c r="Z12" s="172"/>
    </row>
    <row r="13" spans="2:26" s="117" customFormat="1">
      <c r="B13" s="118">
        <v>2</v>
      </c>
      <c r="C13" s="119" t="str">
        <f t="shared" si="0"/>
        <v>EVIP GmbH</v>
      </c>
      <c r="D13" s="45" t="s">
        <v>247</v>
      </c>
      <c r="E13" s="138" t="s">
        <v>662</v>
      </c>
      <c r="F13" s="255" t="str">
        <f>VLOOKUP($E13,'BDEW-Standard'!$B$3:$M$158,F$9,0)</f>
        <v>KO3</v>
      </c>
      <c r="H13" s="230">
        <f>ROUND(VLOOKUP($E13,'BDEW-Standard'!$B$3:$M$158,H$9,0),7)</f>
        <v>2.7172288</v>
      </c>
      <c r="I13" s="230">
        <f>ROUND(VLOOKUP($E13,'BDEW-Standard'!$B$3:$M$158,I$9,0),7)</f>
        <v>-35.141256300000002</v>
      </c>
      <c r="J13" s="230">
        <f>ROUND(VLOOKUP($E13,'BDEW-Standard'!$B$3:$M$158,J$9,0),7)</f>
        <v>7.1303394999999998</v>
      </c>
      <c r="K13" s="230">
        <f>ROUND(VLOOKUP($E13,'BDEW-Standard'!$B$3:$M$158,K$9,0),7)</f>
        <v>0.14184720000000001</v>
      </c>
      <c r="L13" s="231">
        <f>ROUND(VLOOKUP($E13,'BDEW-Standard'!$B$3:$M$158,L$9,0),1)</f>
        <v>40</v>
      </c>
      <c r="M13" s="230">
        <f>ROUND(VLOOKUP($E13,'BDEW-Standard'!$B$3:$M$158,M$9,0),7)</f>
        <v>0</v>
      </c>
      <c r="N13" s="230">
        <f>ROUND(VLOOKUP($E13,'BDEW-Standard'!$B$3:$M$158,N$9,0),7)</f>
        <v>0</v>
      </c>
      <c r="O13" s="230">
        <f>ROUND(VLOOKUP($E13,'BDEW-Standard'!$B$3:$M$158,O$9,0),7)</f>
        <v>0</v>
      </c>
      <c r="P13" s="230">
        <f>ROUND(VLOOKUP($E13,'BDEW-Standard'!$B$3:$M$158,P$9,0),7)</f>
        <v>0</v>
      </c>
      <c r="Q13" s="232">
        <f t="shared" si="1"/>
        <v>1.0630299199876638</v>
      </c>
      <c r="R13" s="233">
        <f>ROUND(VLOOKUP(MID($E13,4,3),'Wochentag F(WT)'!$B$7:$J$22,R$9,0),4)</f>
        <v>1.0354000000000001</v>
      </c>
      <c r="S13" s="233">
        <f>ROUND(VLOOKUP(MID($E13,4,3),'Wochentag F(WT)'!$B$7:$J$22,S$9,0),4)</f>
        <v>1.0523</v>
      </c>
      <c r="T13" s="233">
        <f>ROUND(VLOOKUP(MID($E13,4,3),'Wochentag F(WT)'!$B$7:$J$22,T$9,0),4)</f>
        <v>1.0448999999999999</v>
      </c>
      <c r="U13" s="233">
        <f>ROUND(VLOOKUP(MID($E13,4,3),'Wochentag F(WT)'!$B$7:$J$22,U$9,0),4)</f>
        <v>1.0494000000000001</v>
      </c>
      <c r="V13" s="233">
        <f>ROUND(VLOOKUP(MID($E13,4,3),'Wochentag F(WT)'!$B$7:$J$22,V$9,0),4)</f>
        <v>0.98850000000000005</v>
      </c>
      <c r="W13" s="233">
        <f>ROUND(VLOOKUP(MID($E13,4,3),'Wochentag F(WT)'!$B$7:$J$22,W$9,0),4)</f>
        <v>0.88600000000000001</v>
      </c>
      <c r="X13" s="234">
        <f t="shared" ref="X13:X16" si="2">7-SUM(R13:W13)</f>
        <v>0.94349999999999934</v>
      </c>
      <c r="Y13" s="251"/>
      <c r="Z13" s="172"/>
    </row>
    <row r="14" spans="2:26" s="117" customFormat="1">
      <c r="B14" s="118">
        <v>3</v>
      </c>
      <c r="C14" s="119" t="str">
        <f t="shared" si="0"/>
        <v>EVIP GmbH</v>
      </c>
      <c r="D14" s="45" t="s">
        <v>247</v>
      </c>
      <c r="E14" s="138" t="s">
        <v>663</v>
      </c>
      <c r="F14" s="255" t="str">
        <f>VLOOKUP($E14,'BDEW-Standard'!$B$3:$M$158,F$9,0)</f>
        <v>BD3</v>
      </c>
      <c r="H14" s="230">
        <f>ROUND(VLOOKUP($E14,'BDEW-Standard'!$B$3:$M$158,H$9,0),7)</f>
        <v>2.9177027</v>
      </c>
      <c r="I14" s="230">
        <f>ROUND(VLOOKUP($E14,'BDEW-Standard'!$B$3:$M$158,I$9,0),7)</f>
        <v>-36.179411700000003</v>
      </c>
      <c r="J14" s="230">
        <f>ROUND(VLOOKUP($E14,'BDEW-Standard'!$B$3:$M$158,J$9,0),7)</f>
        <v>5.9265162</v>
      </c>
      <c r="K14" s="230">
        <f>ROUND(VLOOKUP($E14,'BDEW-Standard'!$B$3:$M$158,K$9,0),7)</f>
        <v>0.11519119999999999</v>
      </c>
      <c r="L14" s="231">
        <f>ROUND(VLOOKUP($E14,'BDEW-Standard'!$B$3:$M$158,L$9,0),1)</f>
        <v>40</v>
      </c>
      <c r="M14" s="230">
        <f>ROUND(VLOOKUP($E14,'BDEW-Standard'!$B$3:$M$158,M$9,0),7)</f>
        <v>0</v>
      </c>
      <c r="N14" s="230">
        <f>ROUND(VLOOKUP($E14,'BDEW-Standard'!$B$3:$M$158,N$9,0),7)</f>
        <v>0</v>
      </c>
      <c r="O14" s="230">
        <f>ROUND(VLOOKUP($E14,'BDEW-Standard'!$B$3:$M$158,O$9,0),7)</f>
        <v>0</v>
      </c>
      <c r="P14" s="230">
        <f>ROUND(VLOOKUP($E14,'BDEW-Standard'!$B$3:$M$158,P$9,0),7)</f>
        <v>0</v>
      </c>
      <c r="Q14" s="232">
        <f t="shared" si="1"/>
        <v>1.0656106174494469</v>
      </c>
      <c r="R14" s="233">
        <f>ROUND(VLOOKUP(MID($E14,4,3),'Wochentag F(WT)'!$B$7:$J$22,R$9,0),4)</f>
        <v>1.1052</v>
      </c>
      <c r="S14" s="233">
        <f>ROUND(VLOOKUP(MID($E14,4,3),'Wochentag F(WT)'!$B$7:$J$22,S$9,0),4)</f>
        <v>1.0857000000000001</v>
      </c>
      <c r="T14" s="233">
        <f>ROUND(VLOOKUP(MID($E14,4,3),'Wochentag F(WT)'!$B$7:$J$22,T$9,0),4)</f>
        <v>1.0378000000000001</v>
      </c>
      <c r="U14" s="233">
        <f>ROUND(VLOOKUP(MID($E14,4,3),'Wochentag F(WT)'!$B$7:$J$22,U$9,0),4)</f>
        <v>1.0622</v>
      </c>
      <c r="V14" s="233">
        <f>ROUND(VLOOKUP(MID($E14,4,3),'Wochentag F(WT)'!$B$7:$J$22,V$9,0),4)</f>
        <v>1.0266</v>
      </c>
      <c r="W14" s="233">
        <f>ROUND(VLOOKUP(MID($E14,4,3),'Wochentag F(WT)'!$B$7:$J$22,W$9,0),4)</f>
        <v>0.76290000000000002</v>
      </c>
      <c r="X14" s="234">
        <f t="shared" si="2"/>
        <v>0.91959999999999997</v>
      </c>
      <c r="Y14" s="251"/>
      <c r="Z14" s="172"/>
    </row>
    <row r="15" spans="2:26" s="117" customFormat="1">
      <c r="B15" s="118">
        <v>4</v>
      </c>
      <c r="C15" s="119" t="str">
        <f t="shared" si="0"/>
        <v>EVIP GmbH</v>
      </c>
      <c r="D15" s="45" t="s">
        <v>247</v>
      </c>
      <c r="E15" s="138" t="s">
        <v>664</v>
      </c>
      <c r="F15" s="255" t="str">
        <f>VLOOKUP($E15,'BDEW-Standard'!$B$3:$M$158,F$9,0)</f>
        <v>D13</v>
      </c>
      <c r="H15" s="230">
        <f>ROUND(VLOOKUP($E15,'BDEW-Standard'!$B$3:$M$158,H$9,0),7)</f>
        <v>3.0469694999999999</v>
      </c>
      <c r="I15" s="230">
        <f>ROUND(VLOOKUP($E15,'BDEW-Standard'!$B$3:$M$158,I$9,0),7)</f>
        <v>-37.183314099999997</v>
      </c>
      <c r="J15" s="230">
        <f>ROUND(VLOOKUP($E15,'BDEW-Standard'!$B$3:$M$158,J$9,0),7)</f>
        <v>5.6727847000000002</v>
      </c>
      <c r="K15" s="230">
        <f>ROUND(VLOOKUP($E15,'BDEW-Standard'!$B$3:$M$158,K$9,0),7)</f>
        <v>9.6193100000000004E-2</v>
      </c>
      <c r="L15" s="231">
        <f>ROUND(VLOOKUP($E15,'BDEW-Standard'!$B$3:$M$158,L$9,0),1)</f>
        <v>40</v>
      </c>
      <c r="M15" s="230">
        <f>ROUND(VLOOKUP($E15,'BDEW-Standard'!$B$3:$M$158,M$9,0),7)</f>
        <v>0</v>
      </c>
      <c r="N15" s="230">
        <f>ROUND(VLOOKUP($E15,'BDEW-Standard'!$B$3:$M$158,N$9,0),7)</f>
        <v>0</v>
      </c>
      <c r="O15" s="230">
        <f>ROUND(VLOOKUP($E15,'BDEW-Standard'!$B$3:$M$158,O$9,0),7)</f>
        <v>0</v>
      </c>
      <c r="P15" s="230">
        <f>ROUND(VLOOKUP($E15,'BDEW-Standard'!$B$3:$M$158,P$9,0),7)</f>
        <v>0</v>
      </c>
      <c r="Q15" s="232">
        <f t="shared" si="1"/>
        <v>1.0075192723557669</v>
      </c>
      <c r="R15" s="233">
        <f>ROUND(VLOOKUP(MID($E15,4,3),'Wochentag F(WT)'!$B$7:$J$22,R$9,0),4)</f>
        <v>1</v>
      </c>
      <c r="S15" s="233">
        <f>ROUND(VLOOKUP(MID($E15,4,3),'Wochentag F(WT)'!$B$7:$J$22,S$9,0),4)</f>
        <v>1</v>
      </c>
      <c r="T15" s="233">
        <f>ROUND(VLOOKUP(MID($E15,4,3),'Wochentag F(WT)'!$B$7:$J$22,T$9,0),4)</f>
        <v>1</v>
      </c>
      <c r="U15" s="233">
        <f>ROUND(VLOOKUP(MID($E15,4,3),'Wochentag F(WT)'!$B$7:$J$22,U$9,0),4)</f>
        <v>1</v>
      </c>
      <c r="V15" s="233">
        <f>ROUND(VLOOKUP(MID($E15,4,3),'Wochentag F(WT)'!$B$7:$J$22,V$9,0),4)</f>
        <v>1</v>
      </c>
      <c r="W15" s="233">
        <f>ROUND(VLOOKUP(MID($E15,4,3),'Wochentag F(WT)'!$B$7:$J$22,W$9,0),4)</f>
        <v>1</v>
      </c>
      <c r="X15" s="234">
        <f t="shared" si="2"/>
        <v>1</v>
      </c>
      <c r="Y15" s="251"/>
      <c r="Z15" s="172"/>
    </row>
    <row r="16" spans="2:26" s="117" customFormat="1">
      <c r="B16" s="118">
        <v>5</v>
      </c>
      <c r="C16" s="119" t="str">
        <f t="shared" si="0"/>
        <v>EVIP GmbH</v>
      </c>
      <c r="D16" s="45" t="s">
        <v>247</v>
      </c>
      <c r="E16" s="138" t="s">
        <v>665</v>
      </c>
      <c r="F16" s="255" t="str">
        <f>VLOOKUP($E16,'BDEW-Standard'!$B$3:$M$158,F$9,0)</f>
        <v>D23</v>
      </c>
      <c r="H16" s="230">
        <f>ROUND(VLOOKUP($E16,'BDEW-Standard'!$B$3:$M$158,H$9,0),7)</f>
        <v>2.3877617999999998</v>
      </c>
      <c r="I16" s="230">
        <f>ROUND(VLOOKUP($E16,'BDEW-Standard'!$B$3:$M$158,I$9,0),7)</f>
        <v>-34.721360500000003</v>
      </c>
      <c r="J16" s="230">
        <f>ROUND(VLOOKUP($E16,'BDEW-Standard'!$B$3:$M$158,J$9,0),7)</f>
        <v>5.8164303999999998</v>
      </c>
      <c r="K16" s="230">
        <f>ROUND(VLOOKUP($E16,'BDEW-Standard'!$B$3:$M$158,K$9,0),7)</f>
        <v>0.12081939999999999</v>
      </c>
      <c r="L16" s="231">
        <f>ROUND(VLOOKUP($E16,'BDEW-Standard'!$B$3:$M$158,L$9,0),1)</f>
        <v>40</v>
      </c>
      <c r="M16" s="230">
        <f>ROUND(VLOOKUP($E16,'BDEW-Standard'!$B$3:$M$158,M$9,0),7)</f>
        <v>0</v>
      </c>
      <c r="N16" s="230">
        <f>ROUND(VLOOKUP($E16,'BDEW-Standard'!$B$3:$M$158,N$9,0),7)</f>
        <v>0</v>
      </c>
      <c r="O16" s="230">
        <f>ROUND(VLOOKUP($E16,'BDEW-Standard'!$B$3:$M$158,O$9,0),7)</f>
        <v>0</v>
      </c>
      <c r="P16" s="230">
        <f>ROUND(VLOOKUP($E16,'BDEW-Standard'!$B$3:$M$158,P$9,0),7)</f>
        <v>0</v>
      </c>
      <c r="Q16" s="232">
        <f t="shared" si="1"/>
        <v>1.0365184142102302</v>
      </c>
      <c r="R16" s="233">
        <f>ROUND(VLOOKUP(MID($E16,4,3),'Wochentag F(WT)'!$B$7:$J$22,R$9,0),4)</f>
        <v>1</v>
      </c>
      <c r="S16" s="233">
        <f>ROUND(VLOOKUP(MID($E16,4,3),'Wochentag F(WT)'!$B$7:$J$22,S$9,0),4)</f>
        <v>1</v>
      </c>
      <c r="T16" s="233">
        <f>ROUND(VLOOKUP(MID($E16,4,3),'Wochentag F(WT)'!$B$7:$J$22,T$9,0),4)</f>
        <v>1</v>
      </c>
      <c r="U16" s="233">
        <f>ROUND(VLOOKUP(MID($E16,4,3),'Wochentag F(WT)'!$B$7:$J$22,U$9,0),4)</f>
        <v>1</v>
      </c>
      <c r="V16" s="233">
        <f>ROUND(VLOOKUP(MID($E16,4,3),'Wochentag F(WT)'!$B$7:$J$22,V$9,0),4)</f>
        <v>1</v>
      </c>
      <c r="W16" s="233">
        <f>ROUND(VLOOKUP(MID($E16,4,3),'Wochentag F(WT)'!$B$7:$J$22,W$9,0),4)</f>
        <v>1</v>
      </c>
      <c r="X16" s="234">
        <f t="shared" si="2"/>
        <v>1</v>
      </c>
      <c r="Y16" s="251"/>
      <c r="Z16" s="172"/>
    </row>
    <row r="17" spans="2:26" s="117" customFormat="1">
      <c r="B17" s="118">
        <v>6</v>
      </c>
      <c r="C17" s="119" t="str">
        <f t="shared" si="0"/>
        <v>EVIP GmbH</v>
      </c>
      <c r="D17" s="45"/>
      <c r="E17" s="138"/>
      <c r="F17" s="255"/>
      <c r="H17" s="230"/>
      <c r="I17" s="230"/>
      <c r="J17" s="230"/>
      <c r="K17" s="230"/>
      <c r="L17" s="231"/>
      <c r="M17" s="230"/>
      <c r="N17" s="230"/>
      <c r="O17" s="230"/>
      <c r="P17" s="230"/>
      <c r="Q17" s="232"/>
      <c r="R17" s="233"/>
      <c r="S17" s="233"/>
      <c r="T17" s="233"/>
      <c r="U17" s="233"/>
      <c r="V17" s="233"/>
      <c r="W17" s="233"/>
      <c r="X17" s="234"/>
      <c r="Y17" s="251"/>
      <c r="Z17" s="172"/>
    </row>
    <row r="18" spans="2:26" s="117" customFormat="1">
      <c r="B18" s="118">
        <v>7</v>
      </c>
      <c r="C18" s="119" t="str">
        <f t="shared" si="0"/>
        <v>EVIP GmbH</v>
      </c>
      <c r="D18" s="45"/>
      <c r="E18" s="138"/>
      <c r="F18" s="255"/>
      <c r="H18" s="230"/>
      <c r="I18" s="230"/>
      <c r="J18" s="230"/>
      <c r="K18" s="230"/>
      <c r="L18" s="231"/>
      <c r="M18" s="230"/>
      <c r="N18" s="230"/>
      <c r="O18" s="230"/>
      <c r="P18" s="230"/>
      <c r="Q18" s="232"/>
      <c r="R18" s="233"/>
      <c r="S18" s="233"/>
      <c r="T18" s="233"/>
      <c r="U18" s="233"/>
      <c r="V18" s="233"/>
      <c r="W18" s="233"/>
      <c r="X18" s="234"/>
      <c r="Y18" s="251"/>
      <c r="Z18" s="172"/>
    </row>
    <row r="19" spans="2:26" s="117" customFormat="1">
      <c r="B19" s="118">
        <v>8</v>
      </c>
      <c r="C19" s="119" t="str">
        <f t="shared" si="0"/>
        <v>EVIP GmbH</v>
      </c>
      <c r="D19" s="45"/>
      <c r="E19" s="138"/>
      <c r="F19" s="255"/>
      <c r="H19" s="230"/>
      <c r="I19" s="230"/>
      <c r="J19" s="230"/>
      <c r="K19" s="230"/>
      <c r="L19" s="231"/>
      <c r="M19" s="230"/>
      <c r="N19" s="230"/>
      <c r="O19" s="230"/>
      <c r="P19" s="230"/>
      <c r="Q19" s="232"/>
      <c r="R19" s="233"/>
      <c r="S19" s="233"/>
      <c r="T19" s="233"/>
      <c r="U19" s="233"/>
      <c r="V19" s="233"/>
      <c r="W19" s="233"/>
      <c r="X19" s="234"/>
      <c r="Y19" s="251"/>
      <c r="Z19" s="172"/>
    </row>
    <row r="20" spans="2:26" s="117" customFormat="1">
      <c r="B20" s="118">
        <v>9</v>
      </c>
      <c r="C20" s="119" t="str">
        <f t="shared" si="0"/>
        <v>EVIP GmbH</v>
      </c>
      <c r="D20" s="45"/>
      <c r="E20" s="138"/>
      <c r="F20" s="255"/>
      <c r="H20" s="230"/>
      <c r="I20" s="230"/>
      <c r="J20" s="230"/>
      <c r="K20" s="230"/>
      <c r="L20" s="231"/>
      <c r="M20" s="230"/>
      <c r="N20" s="230"/>
      <c r="O20" s="230"/>
      <c r="P20" s="230"/>
      <c r="Q20" s="232"/>
      <c r="R20" s="233"/>
      <c r="S20" s="233"/>
      <c r="T20" s="233"/>
      <c r="U20" s="233"/>
      <c r="V20" s="233"/>
      <c r="W20" s="233"/>
      <c r="X20" s="234"/>
      <c r="Y20" s="251"/>
      <c r="Z20" s="172"/>
    </row>
    <row r="21" spans="2:26" s="117" customFormat="1">
      <c r="B21" s="118">
        <v>10</v>
      </c>
      <c r="C21" s="119" t="str">
        <f t="shared" si="0"/>
        <v>EVIP GmbH</v>
      </c>
      <c r="D21" s="45"/>
      <c r="E21" s="138"/>
      <c r="F21" s="255"/>
      <c r="H21" s="230"/>
      <c r="I21" s="230"/>
      <c r="J21" s="230"/>
      <c r="K21" s="230"/>
      <c r="L21" s="231"/>
      <c r="M21" s="230"/>
      <c r="N21" s="230"/>
      <c r="O21" s="230"/>
      <c r="P21" s="230"/>
      <c r="Q21" s="232"/>
      <c r="R21" s="233"/>
      <c r="S21" s="233"/>
      <c r="T21" s="233"/>
      <c r="U21" s="233"/>
      <c r="V21" s="233"/>
      <c r="W21" s="233"/>
      <c r="X21" s="234"/>
      <c r="Y21" s="251"/>
      <c r="Z21" s="172"/>
    </row>
    <row r="22" spans="2:26" s="117" customFormat="1">
      <c r="B22" s="118">
        <v>11</v>
      </c>
      <c r="C22" s="119" t="str">
        <f t="shared" si="0"/>
        <v>EVIP GmbH</v>
      </c>
      <c r="D22" s="45"/>
      <c r="E22" s="138"/>
      <c r="F22" s="255"/>
      <c r="H22" s="230"/>
      <c r="I22" s="230"/>
      <c r="J22" s="230"/>
      <c r="K22" s="230"/>
      <c r="L22" s="231"/>
      <c r="M22" s="230"/>
      <c r="N22" s="230"/>
      <c r="O22" s="230"/>
      <c r="P22" s="230"/>
      <c r="Q22" s="232"/>
      <c r="R22" s="233"/>
      <c r="S22" s="233"/>
      <c r="T22" s="233"/>
      <c r="U22" s="233"/>
      <c r="V22" s="233"/>
      <c r="W22" s="233"/>
      <c r="X22" s="234"/>
      <c r="Y22" s="251"/>
      <c r="Z22" s="172"/>
    </row>
    <row r="23" spans="2:26" s="117" customFormat="1">
      <c r="B23" s="118">
        <v>12</v>
      </c>
      <c r="C23" s="119" t="str">
        <f t="shared" si="0"/>
        <v>EVIP GmbH</v>
      </c>
      <c r="D23" s="45"/>
      <c r="E23" s="138"/>
      <c r="F23" s="255"/>
      <c r="H23" s="230"/>
      <c r="I23" s="230"/>
      <c r="J23" s="230"/>
      <c r="K23" s="230"/>
      <c r="L23" s="231"/>
      <c r="M23" s="230"/>
      <c r="N23" s="230"/>
      <c r="O23" s="230"/>
      <c r="P23" s="230"/>
      <c r="Q23" s="232"/>
      <c r="R23" s="233"/>
      <c r="S23" s="233"/>
      <c r="T23" s="233"/>
      <c r="U23" s="233"/>
      <c r="V23" s="233"/>
      <c r="W23" s="233"/>
      <c r="X23" s="234"/>
      <c r="Y23" s="251"/>
      <c r="Z23" s="172"/>
    </row>
    <row r="24" spans="2:26" s="117" customFormat="1">
      <c r="B24" s="118">
        <v>13</v>
      </c>
      <c r="C24" s="119" t="str">
        <f t="shared" si="0"/>
        <v>EVIP GmbH</v>
      </c>
      <c r="D24" s="45"/>
      <c r="E24" s="138"/>
      <c r="F24" s="255"/>
      <c r="H24" s="230"/>
      <c r="I24" s="230"/>
      <c r="J24" s="230"/>
      <c r="K24" s="230"/>
      <c r="L24" s="231"/>
      <c r="M24" s="230"/>
      <c r="N24" s="230"/>
      <c r="O24" s="230"/>
      <c r="P24" s="230"/>
      <c r="Q24" s="232"/>
      <c r="R24" s="233"/>
      <c r="S24" s="233"/>
      <c r="T24" s="233"/>
      <c r="U24" s="233"/>
      <c r="V24" s="233"/>
      <c r="W24" s="233"/>
      <c r="X24" s="234"/>
      <c r="Y24" s="251"/>
      <c r="Z24" s="172"/>
    </row>
    <row r="25" spans="2:26" s="117" customFormat="1">
      <c r="B25" s="118">
        <v>14</v>
      </c>
      <c r="C25" s="119" t="str">
        <f t="shared" si="0"/>
        <v>EVIP GmbH</v>
      </c>
      <c r="D25" s="45"/>
      <c r="E25" s="138"/>
      <c r="F25" s="255"/>
      <c r="H25" s="230"/>
      <c r="I25" s="230"/>
      <c r="J25" s="230"/>
      <c r="K25" s="230"/>
      <c r="L25" s="231"/>
      <c r="M25" s="230"/>
      <c r="N25" s="230"/>
      <c r="O25" s="230"/>
      <c r="P25" s="230"/>
      <c r="Q25" s="232"/>
      <c r="R25" s="233"/>
      <c r="S25" s="233"/>
      <c r="T25" s="233"/>
      <c r="U25" s="233"/>
      <c r="V25" s="233"/>
      <c r="W25" s="233"/>
      <c r="X25" s="234"/>
      <c r="Y25" s="251"/>
      <c r="Z25" s="172"/>
    </row>
    <row r="26" spans="2:26" s="117" customFormat="1">
      <c r="B26" s="118">
        <v>15</v>
      </c>
      <c r="C26" s="119" t="str">
        <f t="shared" si="0"/>
        <v>EVIP GmbH</v>
      </c>
      <c r="D26" s="45"/>
      <c r="E26" s="138"/>
      <c r="F26" s="255"/>
      <c r="H26" s="230"/>
      <c r="I26" s="230"/>
      <c r="J26" s="230"/>
      <c r="K26" s="230"/>
      <c r="L26" s="231"/>
      <c r="M26" s="230"/>
      <c r="N26" s="230"/>
      <c r="O26" s="230"/>
      <c r="P26" s="230"/>
      <c r="Q26" s="232"/>
      <c r="R26" s="233"/>
      <c r="S26" s="233"/>
      <c r="T26" s="233"/>
      <c r="U26" s="233"/>
      <c r="V26" s="233"/>
      <c r="W26" s="233"/>
      <c r="X26" s="234"/>
      <c r="Y26" s="251"/>
      <c r="Z26" s="172"/>
    </row>
    <row r="27" spans="2:26" s="117" customFormat="1">
      <c r="B27" s="118">
        <v>16</v>
      </c>
      <c r="C27" s="119" t="str">
        <f t="shared" si="0"/>
        <v>EVIP GmbH</v>
      </c>
      <c r="D27" s="45"/>
      <c r="E27" s="138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7" customFormat="1">
      <c r="B28" s="118">
        <v>17</v>
      </c>
      <c r="C28" s="119" t="str">
        <f t="shared" si="0"/>
        <v>EVIP GmbH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EVIP GmbH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EVIP GmbH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EVIP GmbH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EVIP GmbH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EVIP GmbH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EVIP GmbH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EVIP GmbH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EVIP GmbH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EVIP GmbH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EVIP GmbH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EVIP GmbH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EVIP GmbH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EVIP GmbH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E12:F41 Y12:Y41">
    <cfRule type="duplicateValues" dxfId="9" priority="31"/>
  </conditionalFormatting>
  <conditionalFormatting sqref="H11:Y41 F11:F41">
    <cfRule type="expression" dxfId="8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18" zoomScale="80" zoomScaleNormal="80" workbookViewId="0">
      <selection activeCell="B152" sqref="B152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5">
        <v>42173</v>
      </c>
      <c r="D1" s="8" t="s">
        <v>450</v>
      </c>
      <c r="F1" s="176" t="s">
        <v>541</v>
      </c>
      <c r="N1" s="11"/>
    </row>
    <row r="2" spans="1:14" ht="25.5">
      <c r="A2" s="177" t="s">
        <v>267</v>
      </c>
      <c r="B2" s="178" t="s">
        <v>145</v>
      </c>
      <c r="C2" s="179" t="s">
        <v>147</v>
      </c>
      <c r="D2" s="180" t="s">
        <v>148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69</v>
      </c>
      <c r="J2" s="181" t="s">
        <v>149</v>
      </c>
      <c r="K2" s="181" t="s">
        <v>150</v>
      </c>
      <c r="L2" s="181" t="s">
        <v>151</v>
      </c>
      <c r="M2" s="183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152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153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154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155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156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157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158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159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160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161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245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162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163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164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165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166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167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168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169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170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171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172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173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174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175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176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177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178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179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180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181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182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183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184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185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186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187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188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189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190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191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192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193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194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195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196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197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198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199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200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201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202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203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204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205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206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207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208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209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210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211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212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213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214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215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216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217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218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219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220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221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222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223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224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225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226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227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228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229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230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231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232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233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234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235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236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237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238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239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240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241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242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5.140625" style="56" bestFit="1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442</v>
      </c>
    </row>
    <row r="3" spans="2:30" ht="15" customHeight="1">
      <c r="B3" s="65"/>
    </row>
    <row r="4" spans="2:30" ht="15" customHeight="1">
      <c r="B4" s="47" t="s">
        <v>441</v>
      </c>
      <c r="C4" s="43" t="str">
        <f>Netzbetreiber!$D$9</f>
        <v>EVIP GmbH</v>
      </c>
      <c r="D4" s="57"/>
      <c r="G4" s="57"/>
      <c r="I4" s="57"/>
      <c r="J4" s="58"/>
      <c r="M4" s="66" t="s">
        <v>535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440</v>
      </c>
      <c r="C5" s="44" t="str">
        <f>Netzbetreiber!D28</f>
        <v>EVIP GmbH</v>
      </c>
      <c r="D5" s="25"/>
      <c r="E5" s="57"/>
      <c r="F5" s="57"/>
      <c r="G5" s="57"/>
      <c r="I5" s="57"/>
      <c r="J5" s="57"/>
      <c r="K5" s="57"/>
      <c r="L5" s="57"/>
      <c r="M5" s="67" t="s">
        <v>505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438</v>
      </c>
      <c r="C6" s="287">
        <f>Netzbetreiber!$D$11</f>
        <v>9870105300006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132</v>
      </c>
      <c r="C7" s="42">
        <f>Netzbetreiber!$D$6</f>
        <v>45383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3" t="s">
        <v>454</v>
      </c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5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463</v>
      </c>
      <c r="N9" s="69" t="s">
        <v>368</v>
      </c>
      <c r="O9" s="70" t="s">
        <v>369</v>
      </c>
      <c r="P9" s="70" t="s">
        <v>370</v>
      </c>
      <c r="Q9" s="70" t="s">
        <v>371</v>
      </c>
      <c r="R9" s="70" t="s">
        <v>372</v>
      </c>
      <c r="S9" s="70" t="s">
        <v>373</v>
      </c>
      <c r="T9" s="70" t="s">
        <v>374</v>
      </c>
      <c r="U9" s="70" t="s">
        <v>375</v>
      </c>
      <c r="V9" s="70" t="s">
        <v>376</v>
      </c>
      <c r="W9" s="70" t="s">
        <v>377</v>
      </c>
      <c r="X9" s="70" t="s">
        <v>378</v>
      </c>
      <c r="Y9" s="70" t="s">
        <v>379</v>
      </c>
      <c r="Z9" s="70" t="s">
        <v>380</v>
      </c>
      <c r="AA9" s="70" t="s">
        <v>381</v>
      </c>
      <c r="AB9" s="70" t="s">
        <v>382</v>
      </c>
      <c r="AC9" s="71" t="s">
        <v>383</v>
      </c>
      <c r="AD9" s="71" t="s">
        <v>425</v>
      </c>
    </row>
    <row r="10" spans="2:30" ht="72" customHeight="1" thickBot="1">
      <c r="B10" s="298" t="s">
        <v>579</v>
      </c>
      <c r="C10" s="299"/>
      <c r="D10" s="72">
        <v>2</v>
      </c>
      <c r="E10" s="73" t="str">
        <f>IF(ISERROR(HLOOKUP(E$11,$M$9:$AD$35,$D10,0)),"",HLOOKUP(E$11,$M$9:$AD$35,$D10,0))</f>
        <v/>
      </c>
      <c r="F10" s="296" t="s">
        <v>394</v>
      </c>
      <c r="G10" s="296"/>
      <c r="H10" s="296"/>
      <c r="I10" s="296"/>
      <c r="J10" s="296"/>
      <c r="K10" s="296"/>
      <c r="L10" s="297"/>
      <c r="M10" s="74" t="s">
        <v>464</v>
      </c>
      <c r="N10" s="75" t="s">
        <v>465</v>
      </c>
      <c r="O10" s="76" t="s">
        <v>466</v>
      </c>
      <c r="P10" s="77" t="s">
        <v>467</v>
      </c>
      <c r="Q10" s="77" t="s">
        <v>468</v>
      </c>
      <c r="R10" s="77" t="s">
        <v>469</v>
      </c>
      <c r="S10" s="77" t="s">
        <v>470</v>
      </c>
      <c r="T10" s="77" t="s">
        <v>471</v>
      </c>
      <c r="U10" s="77" t="s">
        <v>472</v>
      </c>
      <c r="V10" s="77" t="s">
        <v>473</v>
      </c>
      <c r="W10" s="77" t="s">
        <v>474</v>
      </c>
      <c r="X10" s="77" t="s">
        <v>475</v>
      </c>
      <c r="Y10" s="77" t="s">
        <v>476</v>
      </c>
      <c r="Z10" s="77" t="s">
        <v>477</v>
      </c>
      <c r="AA10" s="77" t="s">
        <v>478</v>
      </c>
      <c r="AB10" s="77" t="s">
        <v>479</v>
      </c>
      <c r="AC10" s="78" t="s">
        <v>480</v>
      </c>
      <c r="AD10" s="79" t="s">
        <v>426</v>
      </c>
    </row>
    <row r="11" spans="2:30" ht="15.75" thickBot="1">
      <c r="B11" s="80" t="s">
        <v>417</v>
      </c>
      <c r="C11" s="81"/>
      <c r="D11" s="82">
        <v>3</v>
      </c>
      <c r="E11" s="83"/>
      <c r="F11" s="84" t="s">
        <v>385</v>
      </c>
      <c r="G11" s="85" t="s">
        <v>386</v>
      </c>
      <c r="H11" s="85" t="s">
        <v>387</v>
      </c>
      <c r="I11" s="85" t="s">
        <v>388</v>
      </c>
      <c r="J11" s="85" t="s">
        <v>389</v>
      </c>
      <c r="K11" s="85" t="s">
        <v>390</v>
      </c>
      <c r="L11" s="86" t="s">
        <v>391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395</v>
      </c>
      <c r="C12" s="88"/>
      <c r="D12" s="89">
        <v>4</v>
      </c>
      <c r="E12" s="261">
        <f>MIN(SUMPRODUCT($M$11:$AD$11,M12:AD12),1)</f>
        <v>1</v>
      </c>
      <c r="F12" s="258" t="s">
        <v>391</v>
      </c>
      <c r="G12" s="59" t="s">
        <v>391</v>
      </c>
      <c r="H12" s="59" t="s">
        <v>391</v>
      </c>
      <c r="I12" s="59" t="s">
        <v>391</v>
      </c>
      <c r="J12" s="59" t="s">
        <v>391</v>
      </c>
      <c r="K12" s="59" t="s">
        <v>391</v>
      </c>
      <c r="L12" s="60" t="s">
        <v>391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396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391</v>
      </c>
      <c r="G13" s="61" t="s">
        <v>391</v>
      </c>
      <c r="H13" s="61" t="s">
        <v>391</v>
      </c>
      <c r="I13" s="61" t="s">
        <v>391</v>
      </c>
      <c r="J13" s="61" t="s">
        <v>391</v>
      </c>
      <c r="K13" s="61" t="s">
        <v>391</v>
      </c>
      <c r="L13" s="62" t="s">
        <v>391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397</v>
      </c>
      <c r="C14" s="95"/>
      <c r="D14" s="89">
        <v>6</v>
      </c>
      <c r="E14" s="262">
        <f t="shared" si="0"/>
        <v>0</v>
      </c>
      <c r="F14" s="259" t="s">
        <v>391</v>
      </c>
      <c r="G14" s="61" t="s">
        <v>398</v>
      </c>
      <c r="H14" s="61" t="s">
        <v>398</v>
      </c>
      <c r="I14" s="61" t="s">
        <v>398</v>
      </c>
      <c r="J14" s="61" t="s">
        <v>398</v>
      </c>
      <c r="K14" s="61" t="s">
        <v>398</v>
      </c>
      <c r="L14" s="62" t="s">
        <v>398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399</v>
      </c>
      <c r="C15" s="95"/>
      <c r="D15" s="89">
        <v>7</v>
      </c>
      <c r="E15" s="262">
        <f t="shared" si="0"/>
        <v>0</v>
      </c>
      <c r="F15" s="259" t="s">
        <v>398</v>
      </c>
      <c r="G15" s="61" t="s">
        <v>390</v>
      </c>
      <c r="H15" s="61" t="s">
        <v>398</v>
      </c>
      <c r="I15" s="61" t="s">
        <v>398</v>
      </c>
      <c r="J15" s="61" t="s">
        <v>398</v>
      </c>
      <c r="K15" s="61" t="s">
        <v>398</v>
      </c>
      <c r="L15" s="62" t="s">
        <v>398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411</v>
      </c>
      <c r="C16" s="95"/>
      <c r="D16" s="89">
        <v>8</v>
      </c>
      <c r="E16" s="262">
        <f t="shared" si="0"/>
        <v>1</v>
      </c>
      <c r="F16" s="259" t="s">
        <v>398</v>
      </c>
      <c r="G16" s="61" t="s">
        <v>398</v>
      </c>
      <c r="H16" s="61" t="s">
        <v>398</v>
      </c>
      <c r="I16" s="61" t="s">
        <v>398</v>
      </c>
      <c r="J16" s="61" t="s">
        <v>391</v>
      </c>
      <c r="K16" s="61" t="s">
        <v>398</v>
      </c>
      <c r="L16" s="62" t="s">
        <v>398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412</v>
      </c>
      <c r="C17" s="95"/>
      <c r="D17" s="89">
        <v>9</v>
      </c>
      <c r="E17" s="262">
        <f t="shared" si="0"/>
        <v>1</v>
      </c>
      <c r="F17" s="259" t="s">
        <v>398</v>
      </c>
      <c r="G17" s="61" t="s">
        <v>398</v>
      </c>
      <c r="H17" s="61" t="s">
        <v>398</v>
      </c>
      <c r="I17" s="61" t="s">
        <v>398</v>
      </c>
      <c r="J17" s="61" t="s">
        <v>398</v>
      </c>
      <c r="K17" s="61" t="s">
        <v>398</v>
      </c>
      <c r="L17" s="62" t="s">
        <v>391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413</v>
      </c>
      <c r="C18" s="95"/>
      <c r="D18" s="89">
        <v>10</v>
      </c>
      <c r="E18" s="262">
        <f t="shared" si="0"/>
        <v>1</v>
      </c>
      <c r="F18" s="259" t="s">
        <v>391</v>
      </c>
      <c r="G18" s="61" t="s">
        <v>398</v>
      </c>
      <c r="H18" s="61" t="s">
        <v>398</v>
      </c>
      <c r="I18" s="61" t="s">
        <v>398</v>
      </c>
      <c r="J18" s="61" t="s">
        <v>398</v>
      </c>
      <c r="K18" s="61" t="s">
        <v>398</v>
      </c>
      <c r="L18" s="62" t="s">
        <v>398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647</v>
      </c>
      <c r="C19" s="95"/>
      <c r="D19" s="89"/>
      <c r="E19" s="262">
        <v>1</v>
      </c>
      <c r="F19" s="259" t="s">
        <v>391</v>
      </c>
      <c r="G19" s="61" t="s">
        <v>391</v>
      </c>
      <c r="H19" s="61" t="s">
        <v>391</v>
      </c>
      <c r="I19" s="61" t="s">
        <v>391</v>
      </c>
      <c r="J19" s="61" t="s">
        <v>391</v>
      </c>
      <c r="K19" s="61" t="s">
        <v>391</v>
      </c>
      <c r="L19" s="62" t="s">
        <v>391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400</v>
      </c>
      <c r="C20" s="95"/>
      <c r="D20" s="89">
        <v>11</v>
      </c>
      <c r="E20" s="262">
        <f t="shared" si="0"/>
        <v>1</v>
      </c>
      <c r="F20" s="259" t="s">
        <v>391</v>
      </c>
      <c r="G20" s="61" t="s">
        <v>391</v>
      </c>
      <c r="H20" s="61" t="s">
        <v>391</v>
      </c>
      <c r="I20" s="61" t="s">
        <v>391</v>
      </c>
      <c r="J20" s="61" t="s">
        <v>391</v>
      </c>
      <c r="K20" s="61" t="s">
        <v>391</v>
      </c>
      <c r="L20" s="62" t="s">
        <v>391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645</v>
      </c>
      <c r="C21" s="95"/>
      <c r="D21" s="89">
        <v>12</v>
      </c>
      <c r="E21" s="262">
        <f t="shared" si="0"/>
        <v>1</v>
      </c>
      <c r="F21" s="259" t="s">
        <v>398</v>
      </c>
      <c r="G21" s="61" t="s">
        <v>398</v>
      </c>
      <c r="H21" s="61" t="s">
        <v>398</v>
      </c>
      <c r="I21" s="61" t="s">
        <v>391</v>
      </c>
      <c r="J21" s="61" t="s">
        <v>398</v>
      </c>
      <c r="K21" s="61" t="s">
        <v>398</v>
      </c>
      <c r="L21" s="62" t="s">
        <v>398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414</v>
      </c>
      <c r="C22" s="95"/>
      <c r="D22" s="89">
        <v>13</v>
      </c>
      <c r="E22" s="262">
        <f t="shared" si="0"/>
        <v>1</v>
      </c>
      <c r="F22" s="259" t="s">
        <v>398</v>
      </c>
      <c r="G22" s="61" t="s">
        <v>398</v>
      </c>
      <c r="H22" s="61" t="s">
        <v>398</v>
      </c>
      <c r="I22" s="61" t="s">
        <v>398</v>
      </c>
      <c r="J22" s="61" t="s">
        <v>398</v>
      </c>
      <c r="K22" s="61" t="s">
        <v>398</v>
      </c>
      <c r="L22" s="62" t="s">
        <v>391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415</v>
      </c>
      <c r="C23" s="95"/>
      <c r="D23" s="89">
        <v>14</v>
      </c>
      <c r="E23" s="262">
        <f t="shared" si="0"/>
        <v>1</v>
      </c>
      <c r="F23" s="259" t="s">
        <v>391</v>
      </c>
      <c r="G23" s="61" t="s">
        <v>398</v>
      </c>
      <c r="H23" s="61" t="s">
        <v>398</v>
      </c>
      <c r="I23" s="61" t="s">
        <v>398</v>
      </c>
      <c r="J23" s="61" t="s">
        <v>398</v>
      </c>
      <c r="K23" s="61" t="s">
        <v>398</v>
      </c>
      <c r="L23" s="62" t="s">
        <v>398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416</v>
      </c>
      <c r="C24" s="95"/>
      <c r="D24" s="89">
        <v>15</v>
      </c>
      <c r="E24" s="262">
        <f t="shared" si="0"/>
        <v>0</v>
      </c>
      <c r="F24" s="259" t="s">
        <v>398</v>
      </c>
      <c r="G24" s="61" t="s">
        <v>398</v>
      </c>
      <c r="H24" s="61" t="s">
        <v>398</v>
      </c>
      <c r="I24" s="61" t="s">
        <v>391</v>
      </c>
      <c r="J24" s="61" t="s">
        <v>398</v>
      </c>
      <c r="K24" s="61" t="s">
        <v>398</v>
      </c>
      <c r="L24" s="62" t="s">
        <v>398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401</v>
      </c>
      <c r="C25" s="95"/>
      <c r="D25" s="89">
        <v>16</v>
      </c>
      <c r="E25" s="262">
        <f t="shared" si="0"/>
        <v>0</v>
      </c>
      <c r="F25" s="259" t="s">
        <v>391</v>
      </c>
      <c r="G25" s="61" t="s">
        <v>391</v>
      </c>
      <c r="H25" s="61" t="s">
        <v>391</v>
      </c>
      <c r="I25" s="61" t="s">
        <v>391</v>
      </c>
      <c r="J25" s="61" t="s">
        <v>391</v>
      </c>
      <c r="K25" s="61" t="s">
        <v>391</v>
      </c>
      <c r="L25" s="62" t="s">
        <v>391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402</v>
      </c>
      <c r="C26" s="95"/>
      <c r="D26" s="89">
        <v>17</v>
      </c>
      <c r="E26" s="262">
        <f t="shared" si="0"/>
        <v>0</v>
      </c>
      <c r="F26" s="259" t="s">
        <v>391</v>
      </c>
      <c r="G26" s="61" t="s">
        <v>391</v>
      </c>
      <c r="H26" s="61" t="s">
        <v>391</v>
      </c>
      <c r="I26" s="61" t="s">
        <v>391</v>
      </c>
      <c r="J26" s="61" t="s">
        <v>391</v>
      </c>
      <c r="K26" s="61" t="s">
        <v>391</v>
      </c>
      <c r="L26" s="62" t="s">
        <v>391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646</v>
      </c>
      <c r="C27" s="95"/>
      <c r="D27" s="89"/>
      <c r="E27" s="262">
        <v>1</v>
      </c>
      <c r="F27" s="259" t="s">
        <v>391</v>
      </c>
      <c r="G27" s="61" t="s">
        <v>391</v>
      </c>
      <c r="H27" s="61" t="s">
        <v>391</v>
      </c>
      <c r="I27" s="61" t="s">
        <v>391</v>
      </c>
      <c r="J27" s="61" t="s">
        <v>391</v>
      </c>
      <c r="K27" s="61" t="s">
        <v>391</v>
      </c>
      <c r="L27" s="62" t="s">
        <v>391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403</v>
      </c>
      <c r="C28" s="95"/>
      <c r="D28" s="89">
        <v>18</v>
      </c>
      <c r="E28" s="262">
        <f t="shared" si="0"/>
        <v>1</v>
      </c>
      <c r="F28" s="259" t="s">
        <v>391</v>
      </c>
      <c r="G28" s="61" t="s">
        <v>391</v>
      </c>
      <c r="H28" s="61" t="s">
        <v>391</v>
      </c>
      <c r="I28" s="61" t="s">
        <v>391</v>
      </c>
      <c r="J28" s="61" t="s">
        <v>391</v>
      </c>
      <c r="K28" s="61" t="s">
        <v>391</v>
      </c>
      <c r="L28" s="62" t="s">
        <v>391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404</v>
      </c>
      <c r="C29" s="95"/>
      <c r="D29" s="89">
        <v>19</v>
      </c>
      <c r="E29" s="262">
        <v>1</v>
      </c>
      <c r="F29" s="259" t="s">
        <v>391</v>
      </c>
      <c r="G29" s="259" t="s">
        <v>391</v>
      </c>
      <c r="H29" s="259" t="s">
        <v>391</v>
      </c>
      <c r="I29" s="259" t="s">
        <v>391</v>
      </c>
      <c r="J29" s="259" t="s">
        <v>391</v>
      </c>
      <c r="K29" s="259" t="s">
        <v>391</v>
      </c>
      <c r="L29" s="259" t="s">
        <v>391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405</v>
      </c>
      <c r="C30" s="95"/>
      <c r="D30" s="89">
        <v>20</v>
      </c>
      <c r="E30" s="262">
        <f t="shared" si="0"/>
        <v>0</v>
      </c>
      <c r="F30" s="259" t="s">
        <v>391</v>
      </c>
      <c r="G30" s="61" t="s">
        <v>391</v>
      </c>
      <c r="H30" s="61" t="s">
        <v>391</v>
      </c>
      <c r="I30" s="61" t="s">
        <v>391</v>
      </c>
      <c r="J30" s="61" t="s">
        <v>391</v>
      </c>
      <c r="K30" s="61" t="s">
        <v>391</v>
      </c>
      <c r="L30" s="62" t="s">
        <v>391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406</v>
      </c>
      <c r="C31" s="95"/>
      <c r="D31" s="89">
        <v>21</v>
      </c>
      <c r="E31" s="262">
        <f t="shared" si="0"/>
        <v>0</v>
      </c>
      <c r="F31" s="259" t="s">
        <v>398</v>
      </c>
      <c r="G31" s="61" t="s">
        <v>398</v>
      </c>
      <c r="H31" s="61" t="s">
        <v>391</v>
      </c>
      <c r="I31" s="61" t="s">
        <v>398</v>
      </c>
      <c r="J31" s="61" t="s">
        <v>398</v>
      </c>
      <c r="K31" s="61" t="s">
        <v>398</v>
      </c>
      <c r="L31" s="62" t="s">
        <v>398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407</v>
      </c>
      <c r="C32" s="95"/>
      <c r="D32" s="89">
        <v>22</v>
      </c>
      <c r="E32" s="262">
        <f t="shared" si="0"/>
        <v>0</v>
      </c>
      <c r="F32" s="259" t="s">
        <v>390</v>
      </c>
      <c r="G32" s="61" t="s">
        <v>390</v>
      </c>
      <c r="H32" s="61" t="s">
        <v>390</v>
      </c>
      <c r="I32" s="61" t="s">
        <v>390</v>
      </c>
      <c r="J32" s="61" t="s">
        <v>390</v>
      </c>
      <c r="K32" s="61" t="s">
        <v>390</v>
      </c>
      <c r="L32" s="62" t="s">
        <v>391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408</v>
      </c>
      <c r="C33" s="95"/>
      <c r="D33" s="89">
        <v>23</v>
      </c>
      <c r="E33" s="262">
        <f t="shared" si="0"/>
        <v>1</v>
      </c>
      <c r="F33" s="259" t="s">
        <v>391</v>
      </c>
      <c r="G33" s="61" t="s">
        <v>391</v>
      </c>
      <c r="H33" s="61" t="s">
        <v>391</v>
      </c>
      <c r="I33" s="61" t="s">
        <v>391</v>
      </c>
      <c r="J33" s="61" t="s">
        <v>391</v>
      </c>
      <c r="K33" s="61" t="s">
        <v>391</v>
      </c>
      <c r="L33" s="62" t="s">
        <v>391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409</v>
      </c>
      <c r="C34" s="95"/>
      <c r="D34" s="89">
        <v>24</v>
      </c>
      <c r="E34" s="262">
        <f t="shared" si="0"/>
        <v>1</v>
      </c>
      <c r="F34" s="259" t="s">
        <v>391</v>
      </c>
      <c r="G34" s="61" t="s">
        <v>391</v>
      </c>
      <c r="H34" s="61" t="s">
        <v>391</v>
      </c>
      <c r="I34" s="61" t="s">
        <v>391</v>
      </c>
      <c r="J34" s="61" t="s">
        <v>391</v>
      </c>
      <c r="K34" s="61" t="s">
        <v>391</v>
      </c>
      <c r="L34" s="62" t="s">
        <v>391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410</v>
      </c>
      <c r="C35" s="101"/>
      <c r="D35" s="102">
        <v>25</v>
      </c>
      <c r="E35" s="263">
        <f t="shared" si="0"/>
        <v>0</v>
      </c>
      <c r="F35" s="260" t="s">
        <v>390</v>
      </c>
      <c r="G35" s="63" t="s">
        <v>390</v>
      </c>
      <c r="H35" s="63" t="s">
        <v>390</v>
      </c>
      <c r="I35" s="63" t="s">
        <v>390</v>
      </c>
      <c r="J35" s="63" t="s">
        <v>390</v>
      </c>
      <c r="K35" s="63" t="s">
        <v>390</v>
      </c>
      <c r="L35" s="64" t="s">
        <v>391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451</v>
      </c>
      <c r="B1"/>
      <c r="D1" s="176" t="s">
        <v>541</v>
      </c>
      <c r="O1" s="193"/>
    </row>
    <row r="2" spans="1:16">
      <c r="A2" s="193"/>
      <c r="B2" s="193" t="s">
        <v>452</v>
      </c>
    </row>
    <row r="3" spans="1:16" ht="20.100000000000001" customHeight="1">
      <c r="A3" s="300" t="s">
        <v>248</v>
      </c>
      <c r="B3" s="194" t="s">
        <v>85</v>
      </c>
      <c r="C3" s="195"/>
      <c r="D3" s="302" t="s">
        <v>453</v>
      </c>
      <c r="E3" s="303"/>
      <c r="F3" s="303"/>
      <c r="G3" s="303"/>
      <c r="H3" s="303"/>
      <c r="I3" s="303"/>
      <c r="J3" s="304"/>
      <c r="K3" s="196"/>
      <c r="L3" s="196"/>
      <c r="M3" s="196"/>
      <c r="N3" s="196"/>
      <c r="O3" s="153"/>
      <c r="P3" s="196"/>
    </row>
    <row r="4" spans="1:16" ht="20.100000000000001" customHeight="1">
      <c r="A4" s="301"/>
      <c r="B4" s="197"/>
      <c r="C4" s="198"/>
      <c r="D4" s="199" t="s">
        <v>86</v>
      </c>
      <c r="E4" s="199" t="s">
        <v>87</v>
      </c>
      <c r="F4" s="199" t="s">
        <v>88</v>
      </c>
      <c r="G4" s="199" t="s">
        <v>89</v>
      </c>
      <c r="H4" s="199" t="s">
        <v>90</v>
      </c>
      <c r="I4" s="199" t="s">
        <v>91</v>
      </c>
      <c r="J4" s="199" t="s">
        <v>92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93</v>
      </c>
      <c r="C5" s="198"/>
      <c r="D5" s="199" t="s">
        <v>94</v>
      </c>
      <c r="E5" s="199" t="s">
        <v>95</v>
      </c>
      <c r="F5" s="199" t="s">
        <v>96</v>
      </c>
      <c r="G5" s="199" t="s">
        <v>97</v>
      </c>
      <c r="H5" s="199" t="s">
        <v>98</v>
      </c>
      <c r="I5" s="199" t="s">
        <v>99</v>
      </c>
      <c r="J5" s="199" t="s">
        <v>100</v>
      </c>
      <c r="K5" s="199" t="s">
        <v>101</v>
      </c>
      <c r="L5" s="200" t="s">
        <v>102</v>
      </c>
      <c r="M5" s="200" t="s">
        <v>103</v>
      </c>
      <c r="N5" s="202" t="s">
        <v>146</v>
      </c>
      <c r="O5" s="202" t="s">
        <v>250</v>
      </c>
      <c r="P5" s="203" t="s">
        <v>249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104</v>
      </c>
      <c r="C7" s="206" t="s">
        <v>105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101</v>
      </c>
      <c r="M7" s="208">
        <f t="shared" ref="M7:M21" si="0">MAX(D7:J7)</f>
        <v>1</v>
      </c>
      <c r="N7" s="209" t="s">
        <v>364</v>
      </c>
      <c r="O7" s="97"/>
      <c r="P7" s="199"/>
    </row>
    <row r="8" spans="1:16" ht="21" customHeight="1">
      <c r="A8" s="205">
        <v>2</v>
      </c>
      <c r="B8" s="199" t="s">
        <v>106</v>
      </c>
      <c r="C8" s="206" t="s">
        <v>107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101</v>
      </c>
      <c r="M8" s="208">
        <f t="shared" si="0"/>
        <v>1</v>
      </c>
      <c r="N8" s="209" t="s">
        <v>364</v>
      </c>
      <c r="O8" s="97"/>
      <c r="P8" s="199"/>
    </row>
    <row r="9" spans="1:16" ht="21" customHeight="1">
      <c r="A9" s="205">
        <v>3</v>
      </c>
      <c r="B9" s="199" t="s">
        <v>246</v>
      </c>
      <c r="C9" s="210" t="s">
        <v>4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101</v>
      </c>
      <c r="M9" s="208">
        <f t="shared" ref="M9" si="1">MAX(D9:J9)</f>
        <v>1</v>
      </c>
      <c r="N9" s="209" t="s">
        <v>4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108</v>
      </c>
      <c r="C11" s="213" t="s">
        <v>109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95</v>
      </c>
      <c r="M11" s="208">
        <f t="shared" si="0"/>
        <v>1.0522626697461936</v>
      </c>
      <c r="N11" s="209" t="s">
        <v>253</v>
      </c>
      <c r="O11" s="97" t="s">
        <v>251</v>
      </c>
      <c r="P11" s="199"/>
    </row>
    <row r="12" spans="1:16">
      <c r="A12" s="205">
        <v>5</v>
      </c>
      <c r="B12" s="199" t="s">
        <v>110</v>
      </c>
      <c r="C12" s="213" t="s">
        <v>111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94</v>
      </c>
      <c r="M12" s="208">
        <f t="shared" si="0"/>
        <v>1.0358469949391176</v>
      </c>
      <c r="N12" s="209" t="s">
        <v>253</v>
      </c>
      <c r="O12" s="97" t="s">
        <v>251</v>
      </c>
      <c r="P12" s="199"/>
    </row>
    <row r="13" spans="1:16">
      <c r="A13" s="205">
        <v>6</v>
      </c>
      <c r="B13" s="199" t="s">
        <v>112</v>
      </c>
      <c r="C13" s="213" t="s">
        <v>113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94</v>
      </c>
      <c r="M13" s="208">
        <f t="shared" si="0"/>
        <v>1.069856584592316</v>
      </c>
      <c r="N13" s="209" t="s">
        <v>253</v>
      </c>
      <c r="O13" s="97" t="s">
        <v>251</v>
      </c>
      <c r="P13" s="199"/>
    </row>
    <row r="14" spans="1:16" ht="21" customHeight="1">
      <c r="A14" s="205">
        <v>7</v>
      </c>
      <c r="B14" s="199" t="s">
        <v>114</v>
      </c>
      <c r="C14" s="213" t="s">
        <v>115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94</v>
      </c>
      <c r="M14" s="208">
        <f t="shared" si="0"/>
        <v>1.1052461688999999</v>
      </c>
      <c r="N14" s="209" t="s">
        <v>253</v>
      </c>
      <c r="O14" s="97" t="s">
        <v>251</v>
      </c>
      <c r="P14" s="199"/>
    </row>
    <row r="15" spans="1:16" ht="21" customHeight="1">
      <c r="A15" s="205">
        <v>8</v>
      </c>
      <c r="B15" s="199" t="s">
        <v>116</v>
      </c>
      <c r="C15" s="213" t="s">
        <v>117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95</v>
      </c>
      <c r="M15" s="208">
        <f t="shared" si="0"/>
        <v>1.0389446761000001</v>
      </c>
      <c r="N15" s="209" t="s">
        <v>253</v>
      </c>
      <c r="O15" s="97" t="s">
        <v>251</v>
      </c>
      <c r="P15" s="199"/>
    </row>
    <row r="16" spans="1:16" ht="21" customHeight="1">
      <c r="A16" s="205">
        <v>9</v>
      </c>
      <c r="B16" s="199" t="s">
        <v>122</v>
      </c>
      <c r="C16" s="213" t="s">
        <v>123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96</v>
      </c>
      <c r="M16" s="208">
        <f>MAX(D16:J16)</f>
        <v>1.2706602107</v>
      </c>
      <c r="N16" s="209" t="s">
        <v>253</v>
      </c>
      <c r="O16" s="97" t="s">
        <v>251</v>
      </c>
      <c r="P16" s="199"/>
    </row>
    <row r="17" spans="1:16" ht="21" customHeight="1">
      <c r="A17" s="205">
        <v>10</v>
      </c>
      <c r="B17" s="199" t="s">
        <v>118</v>
      </c>
      <c r="C17" s="214" t="s">
        <v>119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99</v>
      </c>
      <c r="M17" s="208">
        <f t="shared" si="0"/>
        <v>1.0355882019</v>
      </c>
      <c r="N17" s="209" t="s">
        <v>253</v>
      </c>
      <c r="O17" s="97" t="s">
        <v>252</v>
      </c>
      <c r="P17" s="199" t="s">
        <v>116</v>
      </c>
    </row>
    <row r="18" spans="1:16" ht="21" customHeight="1">
      <c r="A18" s="205">
        <v>11</v>
      </c>
      <c r="B18" s="199" t="s">
        <v>120</v>
      </c>
      <c r="C18" s="214" t="s">
        <v>121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98</v>
      </c>
      <c r="M18" s="208">
        <f t="shared" si="0"/>
        <v>1.1401797148999999</v>
      </c>
      <c r="N18" s="209" t="s">
        <v>253</v>
      </c>
      <c r="O18" s="97" t="s">
        <v>252</v>
      </c>
      <c r="P18" s="199" t="s">
        <v>122</v>
      </c>
    </row>
    <row r="19" spans="1:16" ht="21" customHeight="1">
      <c r="A19" s="205">
        <v>12</v>
      </c>
      <c r="B19" s="199" t="s">
        <v>124</v>
      </c>
      <c r="C19" s="214" t="s">
        <v>125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97</v>
      </c>
      <c r="M19" s="208">
        <f t="shared" si="0"/>
        <v>1.0552346931000001</v>
      </c>
      <c r="N19" s="209" t="s">
        <v>253</v>
      </c>
      <c r="O19" s="97" t="s">
        <v>252</v>
      </c>
      <c r="P19" s="199" t="s">
        <v>108</v>
      </c>
    </row>
    <row r="20" spans="1:16" ht="21" customHeight="1">
      <c r="A20" s="205">
        <v>13</v>
      </c>
      <c r="B20" s="199" t="s">
        <v>126</v>
      </c>
      <c r="C20" s="214" t="s">
        <v>127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94</v>
      </c>
      <c r="M20" s="208">
        <f t="shared" si="0"/>
        <v>1.0865859003</v>
      </c>
      <c r="N20" s="209" t="s">
        <v>253</v>
      </c>
      <c r="O20" s="97" t="s">
        <v>252</v>
      </c>
      <c r="P20" s="199" t="s">
        <v>110</v>
      </c>
    </row>
    <row r="21" spans="1:16" ht="24.75" customHeight="1">
      <c r="A21" s="205">
        <v>14</v>
      </c>
      <c r="B21" s="199" t="s">
        <v>128</v>
      </c>
      <c r="C21" s="214" t="s">
        <v>129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95</v>
      </c>
      <c r="M21" s="208">
        <f t="shared" si="0"/>
        <v>1.0522626697461936</v>
      </c>
      <c r="N21" s="209" t="s">
        <v>253</v>
      </c>
      <c r="O21" s="97" t="s">
        <v>252</v>
      </c>
      <c r="P21" s="199" t="s">
        <v>116</v>
      </c>
    </row>
    <row r="22" spans="1:16" ht="25.5">
      <c r="A22" s="205">
        <v>15</v>
      </c>
      <c r="B22" s="199" t="s">
        <v>130</v>
      </c>
      <c r="C22" s="215" t="s">
        <v>131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95</v>
      </c>
      <c r="M22" s="208">
        <f>MAX(D22:J22)</f>
        <v>1.03</v>
      </c>
      <c r="N22" s="209" t="s">
        <v>253</v>
      </c>
      <c r="O22" s="97" t="s">
        <v>252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www.w3.org/XML/1998/namespace"/>
    <ds:schemaRef ds:uri="818b9f00-f4e5-4488-840e-6084e0f1107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Friede, Björn</cp:lastModifiedBy>
  <cp:lastPrinted>2015-03-20T22:59:10Z</cp:lastPrinted>
  <dcterms:created xsi:type="dcterms:W3CDTF">2015-01-15T05:25:41Z</dcterms:created>
  <dcterms:modified xsi:type="dcterms:W3CDTF">2024-01-24T08:45:06Z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